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versitybishops.sharepoint.com/sites/Students'RepresentativeCouncil/Shared Documents/General/SRC/Financial Folders/Budget/"/>
    </mc:Choice>
  </mc:AlternateContent>
  <xr:revisionPtr revIDLastSave="6" documentId="8_{A2E5C884-1A40-4FEC-BF3A-E9FB399C1523}" xr6:coauthVersionLast="47" xr6:coauthVersionMax="47" xr10:uidLastSave="{E593EBCA-77F9-46C8-983D-F5FBA3721297}"/>
  <bookViews>
    <workbookView xWindow="28680" yWindow="-120" windowWidth="29040" windowHeight="15720" firstSheet="5" activeTab="12" xr2:uid="{0E951F86-3C4B-41E7-8278-E29134979689}"/>
  </bookViews>
  <sheets>
    <sheet name="Overall Budget" sheetId="1" r:id="rId1"/>
    <sheet name="Overall Summary" sheetId="2" r:id="rId2"/>
    <sheet name="Operations and Services" sheetId="11" r:id="rId3"/>
    <sheet name="Gait" sheetId="3" r:id="rId4"/>
    <sheet name="Student Success Centre" sheetId="13" r:id="rId5"/>
    <sheet name="SafeDrive" sheetId="12" r:id="rId6"/>
    <sheet name="Activities and Events" sheetId="4" r:id="rId7"/>
    <sheet name="Comms " sheetId="10" r:id="rId8"/>
    <sheet name="Orientation Week" sheetId="5" r:id="rId9"/>
    <sheet name="HallowFest" sheetId="8" r:id="rId10"/>
    <sheet name="Winterfest" sheetId="6" r:id="rId11"/>
    <sheet name="Winter O-Week" sheetId="7" r:id="rId12"/>
    <sheet name="Grad Formal" sheetId="9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" l="1"/>
  <c r="D7" i="10"/>
  <c r="D5" i="2"/>
  <c r="D6" i="2"/>
  <c r="D51" i="5"/>
  <c r="D5" i="5"/>
  <c r="D14" i="5" s="1"/>
  <c r="D18" i="2"/>
  <c r="C15" i="12"/>
  <c r="D29" i="2"/>
  <c r="D15" i="12"/>
  <c r="D10" i="6"/>
  <c r="C27" i="2"/>
  <c r="C62" i="2"/>
  <c r="C10" i="6" l="1"/>
  <c r="C23" i="9"/>
  <c r="C6" i="5"/>
  <c r="C14" i="5" s="1"/>
  <c r="C12" i="13"/>
  <c r="D8" i="3"/>
  <c r="D25" i="3"/>
  <c r="C23" i="3"/>
  <c r="C25" i="3" s="1"/>
  <c r="C12" i="11" s="1"/>
  <c r="D52" i="2"/>
  <c r="D7" i="9"/>
  <c r="D5" i="9"/>
  <c r="D11" i="10"/>
  <c r="D5" i="12"/>
  <c r="D36" i="2"/>
  <c r="D35" i="2"/>
  <c r="D17" i="2"/>
  <c r="C21" i="10"/>
  <c r="C11" i="10"/>
  <c r="D8" i="1" s="1"/>
  <c r="C10" i="13"/>
  <c r="C8" i="3"/>
  <c r="C14" i="11"/>
  <c r="C6" i="11"/>
  <c r="D27" i="3" l="1"/>
  <c r="C13" i="11"/>
  <c r="C15" i="11" s="1"/>
  <c r="D15" i="1" s="1"/>
  <c r="C5" i="11"/>
  <c r="C27" i="3"/>
  <c r="C23" i="10"/>
  <c r="D16" i="1"/>
  <c r="C7" i="4"/>
  <c r="C10" i="9" l="1"/>
  <c r="C9" i="4" s="1"/>
  <c r="B5" i="9"/>
  <c r="D11" i="2" l="1"/>
  <c r="D22" i="2" s="1"/>
  <c r="E6" i="1" s="1"/>
  <c r="D14" i="1" l="1"/>
  <c r="C19" i="4" l="1"/>
  <c r="C25" i="9"/>
  <c r="D34" i="6"/>
  <c r="C34" i="6"/>
  <c r="C36" i="6" l="1"/>
  <c r="C17" i="4"/>
  <c r="D36" i="6"/>
  <c r="D12" i="11"/>
  <c r="D5" i="11"/>
  <c r="D17" i="4"/>
  <c r="D15" i="4"/>
  <c r="D7" i="4"/>
  <c r="D23" i="9"/>
  <c r="D19" i="4" s="1"/>
  <c r="D10" i="9"/>
  <c r="D9" i="4" s="1"/>
  <c r="D18" i="7"/>
  <c r="D5" i="7"/>
  <c r="D6" i="7" s="1"/>
  <c r="D8" i="4" s="1"/>
  <c r="D17" i="8"/>
  <c r="D16" i="4" s="1"/>
  <c r="D8" i="8"/>
  <c r="D6" i="4" s="1"/>
  <c r="D17" i="10"/>
  <c r="D9" i="12"/>
  <c r="D7" i="11" s="1"/>
  <c r="D10" i="13"/>
  <c r="D13" i="11" l="1"/>
  <c r="D12" i="13"/>
  <c r="D17" i="12"/>
  <c r="D14" i="11"/>
  <c r="E8" i="1"/>
  <c r="D53" i="5"/>
  <c r="D5" i="4"/>
  <c r="D19" i="8"/>
  <c r="D20" i="7"/>
  <c r="D8" i="11"/>
  <c r="D18" i="4"/>
  <c r="D21" i="4" s="1"/>
  <c r="D25" i="9"/>
  <c r="D11" i="4" l="1"/>
  <c r="E9" i="1" s="1"/>
  <c r="E17" i="1"/>
  <c r="D15" i="11"/>
  <c r="E15" i="1" s="1"/>
  <c r="E7" i="1"/>
  <c r="D17" i="11"/>
  <c r="D34" i="2"/>
  <c r="D62" i="2" s="1"/>
  <c r="D64" i="2" s="1"/>
  <c r="E10" i="1" l="1"/>
  <c r="D23" i="4"/>
  <c r="E14" i="1"/>
  <c r="C18" i="7"/>
  <c r="C18" i="4" s="1"/>
  <c r="C6" i="7"/>
  <c r="C22" i="2"/>
  <c r="C17" i="8"/>
  <c r="C8" i="8"/>
  <c r="C6" i="4" s="1"/>
  <c r="C51" i="5"/>
  <c r="C53" i="5" s="1"/>
  <c r="C19" i="8" l="1"/>
  <c r="C16" i="4"/>
  <c r="D6" i="1"/>
  <c r="C64" i="2"/>
  <c r="C8" i="4"/>
  <c r="C20" i="7"/>
  <c r="C15" i="4"/>
  <c r="C21" i="4" s="1"/>
  <c r="C9" i="12"/>
  <c r="D17" i="1" l="1"/>
  <c r="D18" i="1" s="1"/>
  <c r="C17" i="12"/>
  <c r="C7" i="11"/>
  <c r="C8" i="11" s="1"/>
  <c r="C5" i="4"/>
  <c r="C11" i="4" s="1"/>
  <c r="C23" i="4" s="1"/>
  <c r="D9" i="1" l="1"/>
  <c r="D7" i="1"/>
  <c r="C17" i="11"/>
  <c r="B24" i="3"/>
  <c r="B23" i="9"/>
  <c r="B34" i="6"/>
  <c r="B8" i="8"/>
  <c r="B17" i="8"/>
  <c r="B8" i="3"/>
  <c r="D10" i="1" l="1"/>
  <c r="D20" i="1" s="1"/>
  <c r="D24" i="1" s="1"/>
  <c r="E23" i="1" s="1"/>
  <c r="B16" i="10"/>
  <c r="D21" i="10" s="1"/>
  <c r="B11" i="3"/>
  <c r="B21" i="3"/>
  <c r="B23" i="3"/>
  <c r="B6" i="5"/>
  <c r="E16" i="1" l="1"/>
  <c r="E18" i="1" s="1"/>
  <c r="E20" i="1" s="1"/>
  <c r="D23" i="10"/>
  <c r="B25" i="3"/>
  <c r="B7" i="10"/>
  <c r="B11" i="10" s="1"/>
  <c r="B10" i="5" l="1"/>
  <c r="B35" i="2" l="1"/>
  <c r="B49" i="5" l="1"/>
  <c r="B5" i="2" l="1"/>
  <c r="B11" i="5"/>
  <c r="B47" i="2" l="1"/>
  <c r="B13" i="12"/>
  <c r="B15" i="12" s="1"/>
  <c r="B5" i="12" l="1"/>
  <c r="B9" i="12" s="1"/>
  <c r="B10" i="9" l="1"/>
  <c r="B20" i="2"/>
  <c r="B9" i="13"/>
  <c r="B10" i="13" s="1"/>
  <c r="B17" i="10" l="1"/>
  <c r="B28" i="5"/>
  <c r="C8" i="1" l="1"/>
  <c r="B11" i="7"/>
  <c r="B18" i="7" s="1"/>
  <c r="B5" i="7"/>
  <c r="B6" i="7" s="1"/>
  <c r="B5" i="6"/>
  <c r="B10" i="6" s="1"/>
  <c r="B20" i="10" l="1"/>
  <c r="B19" i="10"/>
  <c r="B21" i="10" l="1"/>
  <c r="B23" i="10" s="1"/>
  <c r="B60" i="2"/>
  <c r="B5" i="5" l="1"/>
  <c r="B14" i="5" s="1"/>
  <c r="B40" i="5" l="1"/>
  <c r="B51" i="5" s="1"/>
  <c r="B13" i="11" l="1"/>
  <c r="B12" i="13"/>
  <c r="B17" i="2"/>
  <c r="B34" i="2" s="1"/>
  <c r="B14" i="11"/>
  <c r="B17" i="12" l="1"/>
  <c r="B8" i="2"/>
  <c r="B22" i="2" s="1"/>
  <c r="B7" i="11" l="1"/>
  <c r="B16" i="4"/>
  <c r="B6" i="4" l="1"/>
  <c r="B19" i="8"/>
  <c r="B18" i="4" l="1"/>
  <c r="B8" i="4"/>
  <c r="B19" i="4"/>
  <c r="B9" i="4"/>
  <c r="B20" i="7" l="1"/>
  <c r="B25" i="9"/>
  <c r="B17" i="4"/>
  <c r="B7" i="4" l="1"/>
  <c r="B36" i="6" l="1"/>
  <c r="B12" i="11" l="1"/>
  <c r="B15" i="11" l="1"/>
  <c r="C15" i="1" s="1"/>
  <c r="B15" i="4"/>
  <c r="B21" i="4" s="1"/>
  <c r="C17" i="1" l="1"/>
  <c r="B5" i="11" l="1"/>
  <c r="B8" i="11" l="1"/>
  <c r="C7" i="1" s="1"/>
  <c r="B27" i="3"/>
  <c r="B36" i="2"/>
  <c r="B62" i="2" s="1"/>
  <c r="C14" i="1" s="1"/>
  <c r="B17" i="11" l="1"/>
  <c r="C6" i="1"/>
  <c r="B53" i="5"/>
  <c r="B5" i="4"/>
  <c r="B11" i="4" s="1"/>
  <c r="B64" i="2" l="1"/>
  <c r="B23" i="4" l="1"/>
  <c r="C9" i="1"/>
  <c r="C10" i="1" s="1"/>
  <c r="C16" i="1" l="1"/>
  <c r="C18" i="1" s="1"/>
  <c r="C20" i="1" s="1"/>
  <c r="C24" i="1" s="1"/>
  <c r="E24" i="1" s="1"/>
</calcChain>
</file>

<file path=xl/sharedStrings.xml><?xml version="1.0" encoding="utf-8"?>
<sst xmlns="http://schemas.openxmlformats.org/spreadsheetml/2006/main" count="381" uniqueCount="212">
  <si>
    <t>Bishops University Students' Representative Council Budget Summary 2024-2025</t>
  </si>
  <si>
    <t>Budget 2024-2025</t>
  </si>
  <si>
    <t>2024-2025 Actuals</t>
  </si>
  <si>
    <t>2025-2026</t>
  </si>
  <si>
    <t>Revenues</t>
  </si>
  <si>
    <t>Student Fees/General Operating</t>
  </si>
  <si>
    <t>Operations and Services</t>
  </si>
  <si>
    <t>Comms</t>
  </si>
  <si>
    <t>Activities and Events</t>
  </si>
  <si>
    <t>Total Revenues</t>
  </si>
  <si>
    <t>Expenses</t>
  </si>
  <si>
    <t>Total Expenses</t>
  </si>
  <si>
    <t>Net Income</t>
  </si>
  <si>
    <t>Deficiency of Revenues Over Expenses</t>
  </si>
  <si>
    <t>2024-2025</t>
  </si>
  <si>
    <t>Net Assets, Beginning of Year</t>
  </si>
  <si>
    <t>Net Assets, End of Year</t>
  </si>
  <si>
    <t xml:space="preserve"> </t>
  </si>
  <si>
    <t>Bishop's University Students' Representative Council Budget 2024-2025 Overall Summary</t>
  </si>
  <si>
    <t>Student Safety Fee</t>
  </si>
  <si>
    <t>Health and Dental Plan Fees</t>
  </si>
  <si>
    <t>Fun Fund</t>
  </si>
  <si>
    <t>Doolittles Royalty</t>
  </si>
  <si>
    <t>Rentals and Services Rendered</t>
  </si>
  <si>
    <t>SDAG Grant Revenue</t>
  </si>
  <si>
    <t>Miscellaneous Revenue</t>
  </si>
  <si>
    <t>The Mitre Revenue</t>
  </si>
  <si>
    <t>Sponsorships</t>
  </si>
  <si>
    <t>QSU</t>
  </si>
  <si>
    <t>GIC Income</t>
  </si>
  <si>
    <t>Co-Op</t>
  </si>
  <si>
    <t>SPC Card</t>
  </si>
  <si>
    <t xml:space="preserve">Health and Dental Insurance Premiums </t>
  </si>
  <si>
    <t>Salaries and Payroll Expenses</t>
  </si>
  <si>
    <t>Academic Affairs/Conferences</t>
  </si>
  <si>
    <t>SRC Merchandise</t>
  </si>
  <si>
    <t>SRC Service Awards</t>
  </si>
  <si>
    <t>Menstrual Equity</t>
  </si>
  <si>
    <t>Additional Projects (Safety)</t>
  </si>
  <si>
    <t xml:space="preserve">Insurance </t>
  </si>
  <si>
    <t>Meals and Travel</t>
  </si>
  <si>
    <t>Professional Fees</t>
  </si>
  <si>
    <t>Restructuring</t>
  </si>
  <si>
    <t>Donations</t>
  </si>
  <si>
    <t>Office Supplies and Expenses</t>
  </si>
  <si>
    <t>Elections</t>
  </si>
  <si>
    <t>The Mitre</t>
  </si>
  <si>
    <t xml:space="preserve">Professional Development </t>
  </si>
  <si>
    <t>Miscellaneous Expense</t>
  </si>
  <si>
    <t>Website</t>
  </si>
  <si>
    <t>Awards</t>
  </si>
  <si>
    <t>Maintenance and Repairs</t>
  </si>
  <si>
    <t>Student Life</t>
  </si>
  <si>
    <t>Presidential Discretionary</t>
  </si>
  <si>
    <t>Drink Covers</t>
  </si>
  <si>
    <t>Operations and Services Breakdown 2024-2025</t>
  </si>
  <si>
    <t>Gait</t>
  </si>
  <si>
    <t>SafeDrive</t>
  </si>
  <si>
    <t>Bishops University Students' Representative Council Gait Breakdown</t>
  </si>
  <si>
    <t>Gait Sales</t>
  </si>
  <si>
    <t>Security Services Rendered</t>
  </si>
  <si>
    <t>Membership/Guest Fee</t>
  </si>
  <si>
    <t>Cost of Goods Sold</t>
  </si>
  <si>
    <t>Security</t>
  </si>
  <si>
    <t>DJ's and Bands/Entertainment</t>
  </si>
  <si>
    <t>Permits and Licensing</t>
  </si>
  <si>
    <t>Equipment, Supplies, and Glassware</t>
  </si>
  <si>
    <t>Gait Renovations</t>
  </si>
  <si>
    <t>Paint</t>
  </si>
  <si>
    <t>Insurance</t>
  </si>
  <si>
    <t>Other Expenses</t>
  </si>
  <si>
    <t>Payfacto charges</t>
  </si>
  <si>
    <t>Amortization of Tangible Capital Assets</t>
  </si>
  <si>
    <t xml:space="preserve">Net Income </t>
  </si>
  <si>
    <t>Student Success Centre Budget  2024-2025</t>
  </si>
  <si>
    <t>Miscellaneous</t>
  </si>
  <si>
    <t>Salaries</t>
  </si>
  <si>
    <t>Safedrive Breakdown 2024-2025</t>
  </si>
  <si>
    <t>Student Safety Fee Portion</t>
  </si>
  <si>
    <t>Sponsorships/ASEQ</t>
  </si>
  <si>
    <t>QSU Fund</t>
  </si>
  <si>
    <t>Total Revenue</t>
  </si>
  <si>
    <t>Comms Budget  2024-2025</t>
  </si>
  <si>
    <t>Handbook/Agenda Revenue</t>
  </si>
  <si>
    <t>Yearbook Fees</t>
  </si>
  <si>
    <t>Yearbook Revenue</t>
  </si>
  <si>
    <t>Ads</t>
  </si>
  <si>
    <t>Yearbook Expenses</t>
  </si>
  <si>
    <t>Handbook/Agenda Expenses</t>
  </si>
  <si>
    <t>Promotional materials</t>
  </si>
  <si>
    <t>Bishops University Students' Representative Council Activities and Events</t>
  </si>
  <si>
    <t xml:space="preserve"> 2024-2025</t>
  </si>
  <si>
    <t>Orientation Week</t>
  </si>
  <si>
    <t>HallowFest</t>
  </si>
  <si>
    <t>Winterfest</t>
  </si>
  <si>
    <t>Winter Orientation Week</t>
  </si>
  <si>
    <t>Grad Formal</t>
  </si>
  <si>
    <t>Budget 2022-2023</t>
  </si>
  <si>
    <t>Bishops University Students' Representative Council  Schedule of Activities and Events</t>
  </si>
  <si>
    <t>2021-2022</t>
  </si>
  <si>
    <t>2022-2023</t>
  </si>
  <si>
    <t>Mandatory O-Week Fees</t>
  </si>
  <si>
    <t>Exchange Students</t>
  </si>
  <si>
    <t>SDAG Contribution</t>
  </si>
  <si>
    <t>Beer Sales</t>
  </si>
  <si>
    <t>Concert Ticket Sales</t>
  </si>
  <si>
    <t>Sponsorship Cash</t>
  </si>
  <si>
    <t>Sponsorship Items</t>
  </si>
  <si>
    <t>Audiobec &amp; Technician</t>
  </si>
  <si>
    <t>Security/Student Safety</t>
  </si>
  <si>
    <t>Tent</t>
  </si>
  <si>
    <t>Beer Costs</t>
  </si>
  <si>
    <t>Band Rider and Accommodation</t>
  </si>
  <si>
    <t>Work Orders</t>
  </si>
  <si>
    <t>Porta Potties</t>
  </si>
  <si>
    <t>Fences</t>
  </si>
  <si>
    <t>Alcohol Permit</t>
  </si>
  <si>
    <t xml:space="preserve"> DJ</t>
  </si>
  <si>
    <t>Food (team dinner, volunteer lunch)</t>
  </si>
  <si>
    <t>Ice Cream</t>
  </si>
  <si>
    <t>Floor Staff</t>
  </si>
  <si>
    <t>Marshalls</t>
  </si>
  <si>
    <t>Fridge Rental</t>
  </si>
  <si>
    <t>Mechanical Bull + Dunk Tank</t>
  </si>
  <si>
    <t>Archery Game</t>
  </si>
  <si>
    <t>Hypnotist</t>
  </si>
  <si>
    <t>Supplies</t>
  </si>
  <si>
    <t>Centennial Theatre Rental</t>
  </si>
  <si>
    <t xml:space="preserve">Charity </t>
  </si>
  <si>
    <t>Can I Kiss You Speaker</t>
  </si>
  <si>
    <t>Denver Gym</t>
  </si>
  <si>
    <t>Wristbands</t>
  </si>
  <si>
    <t>Decorations and Prizes</t>
  </si>
  <si>
    <t>Orientation Week Banner</t>
  </si>
  <si>
    <t>Target Promotions</t>
  </si>
  <si>
    <t>Logo Design</t>
  </si>
  <si>
    <t>Other Misc</t>
  </si>
  <si>
    <t>Bishops University Students' Representative Council HallowFest</t>
  </si>
  <si>
    <t>Drinks and Food</t>
  </si>
  <si>
    <t>Gait/Pong Tickets</t>
  </si>
  <si>
    <t xml:space="preserve"> Decorations</t>
  </si>
  <si>
    <t>Photobooth</t>
  </si>
  <si>
    <t>Pumpkins etc.</t>
  </si>
  <si>
    <t>Artist</t>
  </si>
  <si>
    <t>Prizes</t>
  </si>
  <si>
    <t>Tickets</t>
  </si>
  <si>
    <t>Drinks</t>
  </si>
  <si>
    <t>Sponsors</t>
  </si>
  <si>
    <t>Rail</t>
  </si>
  <si>
    <t>Snow Machine</t>
  </si>
  <si>
    <t>Audio</t>
  </si>
  <si>
    <t xml:space="preserve">Artist </t>
  </si>
  <si>
    <t>Rider</t>
  </si>
  <si>
    <t>Helpers</t>
  </si>
  <si>
    <t>Drinks Cost of Goods Sold</t>
  </si>
  <si>
    <t>Diesel Lights</t>
  </si>
  <si>
    <t xml:space="preserve">Security </t>
  </si>
  <si>
    <t>Winter O-Week</t>
  </si>
  <si>
    <t>Winter O-Week Fees</t>
  </si>
  <si>
    <t>Buses</t>
  </si>
  <si>
    <t>Laser Tag</t>
  </si>
  <si>
    <t>Tube Sledding</t>
  </si>
  <si>
    <t>Gait Decoration/Hangout</t>
  </si>
  <si>
    <t>Hockey Game</t>
  </si>
  <si>
    <t xml:space="preserve">Combat Archery </t>
  </si>
  <si>
    <t>Grad</t>
  </si>
  <si>
    <t>Ticket Sales</t>
  </si>
  <si>
    <t>Gait drink sales</t>
  </si>
  <si>
    <t>Gait night ticket sales</t>
  </si>
  <si>
    <t>DJ</t>
  </si>
  <si>
    <t xml:space="preserve">Decorations </t>
  </si>
  <si>
    <t xml:space="preserve">Photographer </t>
  </si>
  <si>
    <t>Security/staffing</t>
  </si>
  <si>
    <t>Subscriptions &amp; Memberships</t>
  </si>
  <si>
    <t>Delta Hall/Granada</t>
  </si>
  <si>
    <t>Student Success Centre</t>
  </si>
  <si>
    <t>Payroll processing fees</t>
  </si>
  <si>
    <t>Wine and cheese</t>
  </si>
  <si>
    <t>SRC Extra (GGC)</t>
  </si>
  <si>
    <t xml:space="preserve"> Bank Charges</t>
  </si>
  <si>
    <t>Maitre D - POS system</t>
  </si>
  <si>
    <t>Communauto Fee</t>
  </si>
  <si>
    <t>Staff rental (promo team)</t>
  </si>
  <si>
    <t>Champagne toast</t>
  </si>
  <si>
    <t>Food and wine</t>
  </si>
  <si>
    <t>Fall Fees</t>
  </si>
  <si>
    <t>Winter Fees</t>
  </si>
  <si>
    <t>Spring/summer Fees</t>
  </si>
  <si>
    <t>Igloo</t>
  </si>
  <si>
    <t>Inflatable snowboard</t>
  </si>
  <si>
    <t>Clothing and website</t>
  </si>
  <si>
    <t>Printing</t>
  </si>
  <si>
    <t>Tutoring expense</t>
  </si>
  <si>
    <t>Cost of Goods Sold clothing</t>
  </si>
  <si>
    <t>Honoraria</t>
  </si>
  <si>
    <t>Long-term materials</t>
  </si>
  <si>
    <t>Grad Photos</t>
  </si>
  <si>
    <t>Salary remittances</t>
  </si>
  <si>
    <t>Gait Salaries</t>
  </si>
  <si>
    <t>Amortization expense</t>
  </si>
  <si>
    <t>Other events</t>
  </si>
  <si>
    <t>Hallowfest Revenue (Ticket Sales)</t>
  </si>
  <si>
    <t>Salaries &amp; remittances</t>
  </si>
  <si>
    <t>Ownership consultation</t>
  </si>
  <si>
    <t>Sponsorship items</t>
  </si>
  <si>
    <t>Oweek Packs</t>
  </si>
  <si>
    <t>Other items for Oweek packs</t>
  </si>
  <si>
    <t>Raffle</t>
  </si>
  <si>
    <t>Paramedics</t>
  </si>
  <si>
    <t>Thursday entertainment</t>
  </si>
  <si>
    <t>Decorations/supplies</t>
  </si>
  <si>
    <t>Dewies meal tickets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</si>
</sst>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.0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theme="0"/>
      <name val="Times New Roman"/>
      <family val="1"/>
    </font>
    <font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/>
      <name val="Times New Roman"/>
      <family val="1"/>
    </font>
    <font>
      <b/>
      <sz val="12"/>
      <color rgb="FF000000"/>
      <name val="Aptos Narrow"/>
      <family val="2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4"/>
      <color theme="0"/>
      <name val="Calibri "/>
    </font>
    <font>
      <b/>
      <sz val="11"/>
      <color theme="0"/>
      <name val="Calibri "/>
    </font>
    <font>
      <sz val="11"/>
      <color rgb="FF242424"/>
      <name val="Aptos Narrow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</font>
    <font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9900FF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0" borderId="0"/>
  </cellStyleXfs>
  <cellXfs count="140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1" applyFont="1"/>
    <xf numFmtId="0" fontId="3" fillId="0" borderId="0" xfId="0" applyFont="1" applyAlignment="1">
      <alignment horizontal="center"/>
    </xf>
    <xf numFmtId="164" fontId="3" fillId="0" borderId="4" xfId="0" applyNumberFormat="1" applyFont="1" applyBorder="1"/>
    <xf numFmtId="0" fontId="7" fillId="0" borderId="0" xfId="0" applyFont="1" applyAlignment="1">
      <alignment horizontal="center"/>
    </xf>
    <xf numFmtId="164" fontId="3" fillId="0" borderId="5" xfId="1" applyFont="1" applyBorder="1"/>
    <xf numFmtId="164" fontId="0" fillId="0" borderId="0" xfId="1" applyFont="1" applyFill="1"/>
    <xf numFmtId="164" fontId="3" fillId="0" borderId="4" xfId="1" applyFont="1" applyBorder="1"/>
    <xf numFmtId="164" fontId="3" fillId="0" borderId="6" xfId="0" applyNumberFormat="1" applyFont="1" applyBorder="1"/>
    <xf numFmtId="164" fontId="0" fillId="0" borderId="0" xfId="1" applyFont="1" applyBorder="1"/>
    <xf numFmtId="164" fontId="3" fillId="0" borderId="6" xfId="1" applyFont="1" applyBorder="1"/>
    <xf numFmtId="0" fontId="8" fillId="0" borderId="0" xfId="0" applyFont="1"/>
    <xf numFmtId="0" fontId="9" fillId="0" borderId="0" xfId="0" applyFont="1"/>
    <xf numFmtId="164" fontId="8" fillId="0" borderId="0" xfId="0" applyNumberFormat="1" applyFont="1"/>
    <xf numFmtId="0" fontId="11" fillId="0" borderId="0" xfId="0" applyFont="1" applyAlignment="1">
      <alignment horizontal="center"/>
    </xf>
    <xf numFmtId="164" fontId="3" fillId="0" borderId="0" xfId="0" applyNumberFormat="1" applyFont="1"/>
    <xf numFmtId="0" fontId="6" fillId="2" borderId="8" xfId="0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4" fontId="3" fillId="0" borderId="0" xfId="1" applyFont="1"/>
    <xf numFmtId="164" fontId="1" fillId="0" borderId="0" xfId="1" applyFont="1"/>
    <xf numFmtId="0" fontId="0" fillId="0" borderId="0" xfId="1" applyNumberFormat="1" applyFont="1"/>
    <xf numFmtId="164" fontId="0" fillId="0" borderId="0" xfId="0" applyNumberFormat="1" applyAlignment="1">
      <alignment vertical="center"/>
    </xf>
    <xf numFmtId="164" fontId="1" fillId="0" borderId="0" xfId="1" applyFont="1" applyAlignment="1"/>
    <xf numFmtId="0" fontId="14" fillId="0" borderId="0" xfId="0" applyFont="1" applyAlignment="1">
      <alignment vertical="center"/>
    </xf>
    <xf numFmtId="0" fontId="0" fillId="0" borderId="7" xfId="0" applyBorder="1" applyAlignment="1">
      <alignment horizontal="center"/>
    </xf>
    <xf numFmtId="164" fontId="0" fillId="0" borderId="6" xfId="0" applyNumberFormat="1" applyBorder="1"/>
    <xf numFmtId="0" fontId="7" fillId="0" borderId="6" xfId="0" applyFont="1" applyBorder="1" applyAlignment="1">
      <alignment horizontal="center"/>
    </xf>
    <xf numFmtId="164" fontId="17" fillId="0" borderId="0" xfId="0" applyNumberFormat="1" applyFont="1"/>
    <xf numFmtId="0" fontId="6" fillId="2" borderId="8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164" fontId="0" fillId="0" borderId="7" xfId="0" applyNumberFormat="1" applyBorder="1"/>
    <xf numFmtId="164" fontId="16" fillId="2" borderId="2" xfId="0" applyNumberFormat="1" applyFont="1" applyFill="1" applyBorder="1" applyAlignment="1">
      <alignment horizontal="center"/>
    </xf>
    <xf numFmtId="164" fontId="15" fillId="2" borderId="13" xfId="0" applyNumberFormat="1" applyFont="1" applyFill="1" applyBorder="1" applyAlignment="1">
      <alignment horizont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center" vertical="top"/>
    </xf>
    <xf numFmtId="164" fontId="20" fillId="0" borderId="0" xfId="0" applyNumberFormat="1" applyFont="1"/>
    <xf numFmtId="164" fontId="19" fillId="0" borderId="0" xfId="0" applyNumberFormat="1" applyFont="1" applyAlignment="1">
      <alignment horizontal="center" vertical="top" wrapText="1"/>
    </xf>
    <xf numFmtId="0" fontId="14" fillId="0" borderId="0" xfId="0" applyFont="1"/>
    <xf numFmtId="0" fontId="15" fillId="2" borderId="2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64" fontId="18" fillId="0" borderId="6" xfId="0" applyNumberFormat="1" applyFont="1" applyBorder="1"/>
    <xf numFmtId="164" fontId="0" fillId="0" borderId="7" xfId="1" applyFont="1" applyBorder="1"/>
    <xf numFmtId="164" fontId="0" fillId="0" borderId="14" xfId="0" applyNumberFormat="1" applyBorder="1"/>
    <xf numFmtId="0" fontId="0" fillId="0" borderId="0" xfId="0" applyAlignment="1">
      <alignment vertical="top"/>
    </xf>
    <xf numFmtId="0" fontId="6" fillId="2" borderId="2" xfId="0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164" fontId="21" fillId="0" borderId="0" xfId="0" applyNumberFormat="1" applyFont="1"/>
    <xf numFmtId="164" fontId="21" fillId="0" borderId="0" xfId="0" applyNumberFormat="1" applyFont="1" applyAlignment="1">
      <alignment horizontal="right"/>
    </xf>
    <xf numFmtId="164" fontId="22" fillId="0" borderId="0" xfId="0" applyNumberFormat="1" applyFont="1"/>
    <xf numFmtId="0" fontId="4" fillId="0" borderId="0" xfId="0" applyFont="1" applyAlignment="1">
      <alignment vertical="center"/>
    </xf>
    <xf numFmtId="164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0" fontId="0" fillId="0" borderId="7" xfId="0" applyBorder="1"/>
    <xf numFmtId="164" fontId="3" fillId="0" borderId="0" xfId="1" applyFont="1" applyBorder="1" applyAlignment="1"/>
    <xf numFmtId="164" fontId="0" fillId="0" borderId="15" xfId="0" applyNumberFormat="1" applyBorder="1"/>
    <xf numFmtId="0" fontId="15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164" fontId="15" fillId="2" borderId="2" xfId="0" applyNumberFormat="1" applyFont="1" applyFill="1" applyBorder="1" applyAlignment="1">
      <alignment horizontal="center"/>
    </xf>
    <xf numFmtId="0" fontId="24" fillId="2" borderId="2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0" fontId="3" fillId="0" borderId="6" xfId="0" applyFont="1" applyBorder="1"/>
    <xf numFmtId="164" fontId="15" fillId="2" borderId="2" xfId="0" applyNumberFormat="1" applyFont="1" applyFill="1" applyBorder="1" applyAlignment="1">
      <alignment horizontal="center" vertical="center"/>
    </xf>
    <xf numFmtId="164" fontId="18" fillId="0" borderId="6" xfId="0" applyNumberFormat="1" applyFont="1" applyBorder="1" applyAlignment="1">
      <alignment horizontal="center" vertical="top"/>
    </xf>
    <xf numFmtId="164" fontId="0" fillId="3" borderId="0" xfId="0" applyNumberFormat="1" applyFill="1"/>
    <xf numFmtId="0" fontId="26" fillId="0" borderId="0" xfId="0" applyFont="1"/>
    <xf numFmtId="4" fontId="26" fillId="0" borderId="0" xfId="0" applyNumberFormat="1" applyFont="1"/>
    <xf numFmtId="165" fontId="26" fillId="0" borderId="0" xfId="0" applyNumberFormat="1" applyFont="1"/>
    <xf numFmtId="164" fontId="26" fillId="0" borderId="0" xfId="1" applyFont="1"/>
    <xf numFmtId="164" fontId="29" fillId="0" borderId="0" xfId="1" applyFont="1"/>
    <xf numFmtId="164" fontId="23" fillId="0" borderId="0" xfId="0" applyNumberFormat="1" applyFont="1" applyAlignment="1">
      <alignment vertical="center"/>
    </xf>
    <xf numFmtId="0" fontId="21" fillId="0" borderId="0" xfId="0" applyFont="1" applyAlignment="1">
      <alignment horizontal="left" vertical="center"/>
    </xf>
    <xf numFmtId="164" fontId="0" fillId="0" borderId="16" xfId="0" applyNumberFormat="1" applyBorder="1"/>
    <xf numFmtId="0" fontId="0" fillId="0" borderId="17" xfId="0" applyBorder="1"/>
    <xf numFmtId="164" fontId="0" fillId="0" borderId="17" xfId="1" applyFont="1" applyBorder="1"/>
    <xf numFmtId="164" fontId="0" fillId="0" borderId="17" xfId="0" applyNumberFormat="1" applyBorder="1"/>
    <xf numFmtId="164" fontId="27" fillId="0" borderId="0" xfId="0" applyNumberFormat="1" applyFont="1"/>
    <xf numFmtId="164" fontId="0" fillId="0" borderId="16" xfId="1" applyFont="1" applyBorder="1"/>
    <xf numFmtId="164" fontId="28" fillId="0" borderId="16" xfId="0" applyNumberFormat="1" applyFont="1" applyBorder="1"/>
    <xf numFmtId="0" fontId="0" fillId="0" borderId="0" xfId="0" applyAlignment="1">
      <alignment horizontal="left"/>
    </xf>
    <xf numFmtId="0" fontId="0" fillId="0" borderId="7" xfId="0" applyBorder="1" applyAlignment="1">
      <alignment horizontal="left" vertical="center"/>
    </xf>
    <xf numFmtId="164" fontId="18" fillId="0" borderId="0" xfId="0" applyNumberFormat="1" applyFont="1" applyAlignment="1">
      <alignment horizontal="left"/>
    </xf>
    <xf numFmtId="164" fontId="18" fillId="0" borderId="0" xfId="0" applyNumberFormat="1" applyFont="1" applyAlignment="1">
      <alignment horizontal="left" vertical="top" wrapText="1"/>
    </xf>
    <xf numFmtId="0" fontId="0" fillId="0" borderId="7" xfId="0" applyBorder="1" applyAlignment="1">
      <alignment horizontal="left"/>
    </xf>
    <xf numFmtId="0" fontId="7" fillId="0" borderId="0" xfId="0" applyFont="1" applyAlignment="1">
      <alignment horizontal="left"/>
    </xf>
    <xf numFmtId="0" fontId="15" fillId="2" borderId="2" xfId="0" applyFont="1" applyFill="1" applyBorder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0" applyNumberFormat="1" applyAlignment="1">
      <alignment horizontal="left" vertical="center"/>
    </xf>
    <xf numFmtId="164" fontId="1" fillId="0" borderId="0" xfId="2" applyNumberFormat="1" applyFont="1" applyAlignment="1">
      <alignment horizontal="left"/>
    </xf>
    <xf numFmtId="164" fontId="7" fillId="0" borderId="0" xfId="0" applyNumberFormat="1" applyFont="1" applyAlignment="1">
      <alignment horizontal="left"/>
    </xf>
    <xf numFmtId="164" fontId="6" fillId="2" borderId="2" xfId="0" applyNumberFormat="1" applyFon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10" fillId="0" borderId="0" xfId="2" applyAlignment="1">
      <alignment horizontal="left" wrapText="1"/>
    </xf>
    <xf numFmtId="0" fontId="10" fillId="0" borderId="0" xfId="0" applyFont="1" applyAlignment="1">
      <alignment horizontal="left"/>
    </xf>
    <xf numFmtId="0" fontId="0" fillId="0" borderId="0" xfId="1" applyNumberFormat="1" applyFont="1" applyAlignment="1">
      <alignment horizontal="left"/>
    </xf>
    <xf numFmtId="164" fontId="3" fillId="0" borderId="18" xfId="0" applyNumberFormat="1" applyFont="1" applyBorder="1"/>
    <xf numFmtId="4" fontId="19" fillId="0" borderId="0" xfId="0" applyNumberFormat="1" applyFont="1"/>
    <xf numFmtId="0" fontId="4" fillId="0" borderId="0" xfId="0" applyFont="1" applyAlignment="1">
      <alignment horizont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4" fillId="2" borderId="11" xfId="0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center" vertical="center"/>
    </xf>
    <xf numFmtId="0" fontId="24" fillId="2" borderId="11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164" fontId="5" fillId="2" borderId="11" xfId="0" applyNumberFormat="1" applyFont="1" applyFill="1" applyBorder="1" applyAlignment="1">
      <alignment horizontal="center" vertical="center"/>
    </xf>
    <xf numFmtId="164" fontId="5" fillId="2" borderId="12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164" fontId="24" fillId="2" borderId="11" xfId="0" applyNumberFormat="1" applyFont="1" applyFill="1" applyBorder="1" applyAlignment="1">
      <alignment horizontal="center" vertical="center"/>
    </xf>
    <xf numFmtId="164" fontId="24" fillId="2" borderId="12" xfId="0" applyNumberFormat="1" applyFont="1" applyFill="1" applyBorder="1" applyAlignment="1">
      <alignment horizontal="center" vertical="center"/>
    </xf>
    <xf numFmtId="164" fontId="0" fillId="0" borderId="0" xfId="0" applyNumberFormat="1" applyFill="1"/>
    <xf numFmtId="164" fontId="0" fillId="0" borderId="7" xfId="0" applyNumberFormat="1" applyFill="1" applyBorder="1"/>
    <xf numFmtId="164" fontId="3" fillId="0" borderId="0" xfId="0" applyNumberFormat="1" applyFont="1" applyFill="1"/>
    <xf numFmtId="0" fontId="0" fillId="0" borderId="0" xfId="0" applyFill="1"/>
    <xf numFmtId="164" fontId="5" fillId="0" borderId="2" xfId="0" applyNumberFormat="1" applyFont="1" applyFill="1" applyBorder="1" applyAlignment="1">
      <alignment horizontal="center" vertical="center"/>
    </xf>
    <xf numFmtId="164" fontId="3" fillId="0" borderId="6" xfId="0" applyNumberFormat="1" applyFont="1" applyFill="1" applyBorder="1"/>
  </cellXfs>
  <cellStyles count="3">
    <cellStyle name="Currency" xfId="1" builtinId="4"/>
    <cellStyle name="Normal" xfId="0" builtinId="0"/>
    <cellStyle name="Normal 6" xfId="2" xr:uid="{DAC38502-2F97-4E29-9DFD-0A25322924F8}"/>
  </cellStyles>
  <dxfs count="0"/>
  <tableStyles count="0" defaultTableStyle="TableStyleMedium2" defaultPivotStyle="PivotStyleLight16"/>
  <colors>
    <mruColors>
      <color rgb="FF9751CB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DF146-2011-4DB6-A3FD-4A53C2ED1374}">
  <dimension ref="B1:G26"/>
  <sheetViews>
    <sheetView topLeftCell="A3" zoomScaleNormal="100" workbookViewId="0">
      <selection activeCell="B29" sqref="B29"/>
    </sheetView>
  </sheetViews>
  <sheetFormatPr defaultRowHeight="14.4"/>
  <cols>
    <col min="2" max="2" width="42.88671875" customWidth="1"/>
    <col min="3" max="3" width="39.6640625" customWidth="1"/>
    <col min="4" max="4" width="39.6640625" style="5" customWidth="1"/>
    <col min="5" max="5" width="32" customWidth="1"/>
    <col min="6" max="7" width="9.88671875" customWidth="1"/>
  </cols>
  <sheetData>
    <row r="1" spans="2:7">
      <c r="D1"/>
    </row>
    <row r="2" spans="2:7" ht="17.399999999999999">
      <c r="B2" s="106" t="s">
        <v>0</v>
      </c>
      <c r="C2" s="106"/>
      <c r="D2" s="106"/>
      <c r="E2" s="106"/>
    </row>
    <row r="3" spans="2:7" ht="18" thickBot="1">
      <c r="B3" s="1"/>
      <c r="C3" s="2"/>
      <c r="D3" s="2"/>
    </row>
    <row r="4" spans="2:7" ht="15.75" customHeight="1" thickBot="1">
      <c r="C4" s="107" t="s">
        <v>1</v>
      </c>
      <c r="D4" s="109" t="s">
        <v>2</v>
      </c>
      <c r="E4" s="107" t="s">
        <v>3</v>
      </c>
      <c r="F4" s="57"/>
      <c r="G4" s="57"/>
    </row>
    <row r="5" spans="2:7" ht="19.5" customHeight="1" thickBot="1">
      <c r="B5" s="3" t="s">
        <v>4</v>
      </c>
      <c r="C5" s="108"/>
      <c r="D5" s="110"/>
      <c r="E5" s="108"/>
      <c r="F5" s="57"/>
      <c r="G5" s="57"/>
    </row>
    <row r="6" spans="2:7">
      <c r="B6" s="4" t="s">
        <v>5</v>
      </c>
      <c r="C6" s="6">
        <f>'Overall Summary'!B22</f>
        <v>1033434.88</v>
      </c>
      <c r="D6" s="5">
        <f>'Overall Summary'!C22</f>
        <v>1029993.68</v>
      </c>
      <c r="E6" s="134">
        <f>'Overall Summary'!D22</f>
        <v>1088526.0897599999</v>
      </c>
    </row>
    <row r="7" spans="2:7">
      <c r="B7" s="4" t="s">
        <v>6</v>
      </c>
      <c r="C7" s="6">
        <f>'Operations and Services'!B8</f>
        <v>352283</v>
      </c>
      <c r="D7" s="5">
        <f>'Operations and Services'!C8</f>
        <v>287926.38</v>
      </c>
      <c r="E7" s="134">
        <f>'Operations and Services'!D8</f>
        <v>297428.83199999999</v>
      </c>
    </row>
    <row r="8" spans="2:7">
      <c r="B8" s="45" t="s">
        <v>7</v>
      </c>
      <c r="C8" s="5">
        <f>'Comms '!B11</f>
        <v>51803.320000000007</v>
      </c>
      <c r="D8" s="5">
        <f>'Comms '!C11</f>
        <v>42358.920000000006</v>
      </c>
      <c r="E8" s="134">
        <f>'Comms '!D11</f>
        <v>44100.578560000002</v>
      </c>
    </row>
    <row r="9" spans="2:7" ht="15" thickBot="1">
      <c r="B9" s="4" t="s">
        <v>8</v>
      </c>
      <c r="C9" s="6">
        <f>'Activities and Events'!B11</f>
        <v>226772</v>
      </c>
      <c r="D9" s="36">
        <f>'Activities and Events'!C11</f>
        <v>209972.63</v>
      </c>
      <c r="E9" s="135">
        <f>'Activities and Events'!D11</f>
        <v>247000.76724000002</v>
      </c>
    </row>
    <row r="10" spans="2:7">
      <c r="B10" s="7" t="s">
        <v>9</v>
      </c>
      <c r="C10" s="8">
        <f>SUM(C6:C9)</f>
        <v>1664293.2</v>
      </c>
      <c r="D10" s="20">
        <f>SUM(D6:D9)</f>
        <v>1570251.6099999999</v>
      </c>
      <c r="E10" s="136">
        <f>SUM(E6:E9)</f>
        <v>1677056.2675599998</v>
      </c>
    </row>
    <row r="11" spans="2:7">
      <c r="C11" s="6"/>
      <c r="E11" s="137"/>
    </row>
    <row r="12" spans="2:7" ht="15" thickBot="1">
      <c r="C12" s="6"/>
      <c r="E12" s="137"/>
    </row>
    <row r="13" spans="2:7" ht="18.600000000000001" thickBot="1">
      <c r="B13" s="21" t="s">
        <v>10</v>
      </c>
      <c r="C13" s="58" t="s">
        <v>1</v>
      </c>
      <c r="D13" s="58" t="s">
        <v>2</v>
      </c>
      <c r="E13" s="138" t="s">
        <v>3</v>
      </c>
    </row>
    <row r="14" spans="2:7">
      <c r="B14" s="4" t="s">
        <v>5</v>
      </c>
      <c r="C14" s="6">
        <f>'Overall Summary'!B62</f>
        <v>1018517.9911</v>
      </c>
      <c r="D14" s="5">
        <f>'Overall Summary'!C62</f>
        <v>984925.20999999985</v>
      </c>
      <c r="E14" s="134">
        <f>'Overall Summary'!D62</f>
        <v>1028354.7359999999</v>
      </c>
    </row>
    <row r="15" spans="2:7" ht="15" customHeight="1">
      <c r="B15" s="4" t="s">
        <v>6</v>
      </c>
      <c r="C15" s="6">
        <f>'Operations and Services'!B15</f>
        <v>363753.65399999998</v>
      </c>
      <c r="D15" s="5">
        <f>'Operations and Services'!C15</f>
        <v>292953.59999999998</v>
      </c>
      <c r="E15" s="134">
        <f>'Operations and Services'!D15</f>
        <v>309038.59999999998</v>
      </c>
      <c r="G15" s="49"/>
    </row>
    <row r="16" spans="2:7">
      <c r="B16" s="45" t="s">
        <v>7</v>
      </c>
      <c r="C16" s="5">
        <f>'Comms '!B21</f>
        <v>106000.43000000001</v>
      </c>
      <c r="D16" s="5">
        <f>'Comms '!C21</f>
        <v>89940.160000000003</v>
      </c>
      <c r="E16" s="134">
        <f>'Comms '!D21</f>
        <v>110761.57855999999</v>
      </c>
      <c r="G16" s="49"/>
    </row>
    <row r="17" spans="2:7" ht="15" thickBot="1">
      <c r="B17" s="4" t="s">
        <v>8</v>
      </c>
      <c r="C17" s="6">
        <f>'Activities and Events'!B21</f>
        <v>222125.26</v>
      </c>
      <c r="D17" s="36">
        <f>'Activities and Events'!C21</f>
        <v>211753.88</v>
      </c>
      <c r="E17" s="135">
        <f>'Activities and Events'!D21</f>
        <v>249000</v>
      </c>
      <c r="G17" s="49"/>
    </row>
    <row r="18" spans="2:7">
      <c r="B18" s="7" t="s">
        <v>11</v>
      </c>
      <c r="C18" s="8">
        <f>SUM(C14:C17)</f>
        <v>1710397.3350999998</v>
      </c>
      <c r="D18" s="20">
        <f>SUM(D14:D17)</f>
        <v>1579572.8499999996</v>
      </c>
      <c r="E18" s="136">
        <f>SUM(E14:E17)</f>
        <v>1697154.9145599999</v>
      </c>
      <c r="G18" s="49"/>
    </row>
    <row r="19" spans="2:7">
      <c r="C19" s="6"/>
      <c r="E19" s="137"/>
      <c r="G19" s="49"/>
    </row>
    <row r="20" spans="2:7" ht="16.2" thickBot="1">
      <c r="B20" s="9" t="s">
        <v>12</v>
      </c>
      <c r="C20" s="10">
        <f>C10-C18</f>
        <v>-46104.135099999839</v>
      </c>
      <c r="D20" s="13">
        <f>D10-D18</f>
        <v>-9321.2399999997579</v>
      </c>
      <c r="E20" s="139">
        <f>E10-E18</f>
        <v>-20098.647000000114</v>
      </c>
      <c r="G20" s="49"/>
    </row>
    <row r="21" spans="2:7" ht="15.6" thickTop="1" thickBot="1">
      <c r="G21" s="49"/>
    </row>
    <row r="22" spans="2:7" ht="20.25" customHeight="1" thickBot="1">
      <c r="B22" s="50" t="s">
        <v>13</v>
      </c>
      <c r="C22" s="51" t="s">
        <v>14</v>
      </c>
      <c r="D22" s="51" t="s">
        <v>2</v>
      </c>
      <c r="E22" s="51" t="s">
        <v>3</v>
      </c>
      <c r="G22" s="49"/>
    </row>
    <row r="23" spans="2:7">
      <c r="B23" s="4" t="s">
        <v>15</v>
      </c>
      <c r="C23" s="5">
        <v>421224.8</v>
      </c>
      <c r="D23" s="5">
        <v>421224.8</v>
      </c>
      <c r="E23" s="5">
        <f>D24</f>
        <v>411903.56000000023</v>
      </c>
      <c r="G23" s="49"/>
    </row>
    <row r="24" spans="2:7">
      <c r="B24" s="4" t="s">
        <v>16</v>
      </c>
      <c r="C24" s="5">
        <f>C23+C20</f>
        <v>375120.66490000015</v>
      </c>
      <c r="D24" s="5">
        <f>D23+D20</f>
        <v>411903.56000000023</v>
      </c>
      <c r="E24" s="5">
        <f>E23+E20</f>
        <v>391804.91300000012</v>
      </c>
      <c r="F24" t="s">
        <v>17</v>
      </c>
      <c r="G24" s="49"/>
    </row>
    <row r="25" spans="2:7">
      <c r="C25" s="5"/>
      <c r="G25" s="49"/>
    </row>
    <row r="26" spans="2:7">
      <c r="C26" s="5"/>
      <c r="G26" s="49"/>
    </row>
  </sheetData>
  <mergeCells count="4">
    <mergeCell ref="B2:E2"/>
    <mergeCell ref="C4:C5"/>
    <mergeCell ref="D4:D5"/>
    <mergeCell ref="E4:E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992FB-105B-43B5-AA44-8B6DD602A314}">
  <dimension ref="A1:D23"/>
  <sheetViews>
    <sheetView workbookViewId="0">
      <selection activeCell="E1" sqref="E1:H1048576"/>
    </sheetView>
  </sheetViews>
  <sheetFormatPr defaultRowHeight="14.4"/>
  <cols>
    <col min="1" max="3" width="28.33203125" customWidth="1"/>
    <col min="4" max="4" width="31.44140625" customWidth="1"/>
  </cols>
  <sheetData>
    <row r="1" spans="1:4" ht="18" thickBot="1">
      <c r="A1" s="106" t="s">
        <v>137</v>
      </c>
      <c r="B1" s="106"/>
      <c r="C1" s="106"/>
    </row>
    <row r="2" spans="1:4" ht="18.600000000000001" thickBot="1">
      <c r="A2" s="19" t="s">
        <v>93</v>
      </c>
      <c r="B2" s="128" t="s">
        <v>14</v>
      </c>
      <c r="C2" s="126" t="s">
        <v>2</v>
      </c>
      <c r="D2" s="107" t="s">
        <v>3</v>
      </c>
    </row>
    <row r="3" spans="1:4" ht="18.600000000000001" thickBot="1">
      <c r="A3" s="3" t="s">
        <v>4</v>
      </c>
      <c r="B3" s="129"/>
      <c r="C3" s="127"/>
      <c r="D3" s="108"/>
    </row>
    <row r="4" spans="1:4">
      <c r="A4" s="88" t="s">
        <v>201</v>
      </c>
      <c r="B4" s="5">
        <v>0</v>
      </c>
      <c r="C4" s="5">
        <v>3744</v>
      </c>
      <c r="D4" s="5">
        <v>5000</v>
      </c>
    </row>
    <row r="5" spans="1:4">
      <c r="A5" s="88" t="s">
        <v>21</v>
      </c>
      <c r="B5" s="5">
        <v>0</v>
      </c>
      <c r="C5">
        <v>1445.26</v>
      </c>
      <c r="D5" s="5">
        <v>2000</v>
      </c>
    </row>
    <row r="6" spans="1:4">
      <c r="A6" s="88" t="s">
        <v>138</v>
      </c>
      <c r="B6" s="6">
        <v>0</v>
      </c>
      <c r="C6" s="5"/>
      <c r="D6" s="5">
        <v>0</v>
      </c>
    </row>
    <row r="7" spans="1:4" ht="15" thickBot="1">
      <c r="A7" s="88" t="s">
        <v>139</v>
      </c>
      <c r="B7" s="6">
        <v>1000</v>
      </c>
      <c r="C7" s="61"/>
      <c r="D7" s="36">
        <v>0</v>
      </c>
    </row>
    <row r="8" spans="1:4" ht="15.6">
      <c r="A8" s="93" t="s">
        <v>81</v>
      </c>
      <c r="B8" s="8">
        <f>SUM(B6:B7)</f>
        <v>1000</v>
      </c>
      <c r="C8" s="20">
        <f>SUM(C4:C7)</f>
        <v>5189.26</v>
      </c>
      <c r="D8" s="20">
        <f>SUM(D4:D7)</f>
        <v>7000</v>
      </c>
    </row>
    <row r="9" spans="1:4" ht="19.5" customHeight="1">
      <c r="B9" s="6"/>
      <c r="C9" s="5"/>
      <c r="D9" s="5"/>
    </row>
    <row r="10" spans="1:4" ht="15" thickBot="1">
      <c r="B10" s="6"/>
      <c r="C10" s="5"/>
      <c r="D10" s="5"/>
    </row>
    <row r="11" spans="1:4" ht="18.600000000000001" thickBot="1">
      <c r="A11" s="3" t="s">
        <v>10</v>
      </c>
      <c r="B11" s="44" t="s">
        <v>14</v>
      </c>
      <c r="C11" s="59" t="s">
        <v>2</v>
      </c>
      <c r="D11" s="68" t="s">
        <v>3</v>
      </c>
    </row>
    <row r="12" spans="1:4" ht="14.4" customHeight="1">
      <c r="A12" s="88" t="s">
        <v>140</v>
      </c>
      <c r="B12" s="6">
        <v>500</v>
      </c>
      <c r="C12" s="5">
        <v>799.22</v>
      </c>
      <c r="D12" s="5">
        <v>500</v>
      </c>
    </row>
    <row r="13" spans="1:4">
      <c r="A13" s="88" t="s">
        <v>141</v>
      </c>
      <c r="B13" s="6">
        <v>300</v>
      </c>
      <c r="C13" s="5">
        <v>324.63</v>
      </c>
      <c r="D13" s="5">
        <v>500</v>
      </c>
    </row>
    <row r="14" spans="1:4">
      <c r="A14" s="88" t="s">
        <v>142</v>
      </c>
      <c r="B14" s="5">
        <v>150</v>
      </c>
      <c r="C14" s="5">
        <v>200</v>
      </c>
      <c r="D14" s="5"/>
    </row>
    <row r="15" spans="1:4">
      <c r="A15" s="88" t="s">
        <v>143</v>
      </c>
      <c r="B15" s="6">
        <v>1000</v>
      </c>
      <c r="C15" s="5">
        <v>300</v>
      </c>
      <c r="D15" s="5">
        <v>2000</v>
      </c>
    </row>
    <row r="16" spans="1:4" ht="15" thickBot="1">
      <c r="A16" s="88" t="s">
        <v>144</v>
      </c>
      <c r="B16" s="6">
        <v>500</v>
      </c>
      <c r="C16" s="36">
        <v>346.04</v>
      </c>
      <c r="D16" s="36">
        <v>2000</v>
      </c>
    </row>
    <row r="17" spans="1:4" ht="15.6">
      <c r="A17" s="93" t="s">
        <v>11</v>
      </c>
      <c r="B17" s="8">
        <f>SUM(B12:B16)</f>
        <v>2450</v>
      </c>
      <c r="C17" s="20">
        <f>SUM(C12:C16)</f>
        <v>1969.8899999999999</v>
      </c>
      <c r="D17" s="5">
        <f>SUM(D12:D16)</f>
        <v>5000</v>
      </c>
    </row>
    <row r="18" spans="1:4">
      <c r="A18" s="88"/>
      <c r="B18" s="6"/>
      <c r="C18" s="5"/>
      <c r="D18" s="5"/>
    </row>
    <row r="19" spans="1:4" ht="16.2" thickBot="1">
      <c r="A19" s="93" t="s">
        <v>12</v>
      </c>
      <c r="B19" s="15">
        <f>B8-B17</f>
        <v>-1450</v>
      </c>
      <c r="C19" s="13">
        <f>C8-C17</f>
        <v>3219.3700000000003</v>
      </c>
      <c r="D19" s="13">
        <f>D8-D17</f>
        <v>2000</v>
      </c>
    </row>
    <row r="20" spans="1:4" ht="15" thickTop="1">
      <c r="D20" s="5"/>
    </row>
    <row r="21" spans="1:4">
      <c r="D21" s="5"/>
    </row>
    <row r="22" spans="1:4">
      <c r="D22" s="5"/>
    </row>
    <row r="23" spans="1:4">
      <c r="D23" s="5"/>
    </row>
  </sheetData>
  <mergeCells count="4">
    <mergeCell ref="A1:C1"/>
    <mergeCell ref="B2:B3"/>
    <mergeCell ref="C2:C3"/>
    <mergeCell ref="D2:D3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F668A-ACB4-4FBB-AC4B-10CE8E198CBF}">
  <dimension ref="A1:D37"/>
  <sheetViews>
    <sheetView topLeftCell="A5" workbookViewId="0">
      <selection activeCell="E5" sqref="E1:L1048576"/>
    </sheetView>
  </sheetViews>
  <sheetFormatPr defaultRowHeight="14.4"/>
  <cols>
    <col min="1" max="3" width="43.109375" customWidth="1"/>
    <col min="4" max="4" width="25.33203125" customWidth="1"/>
  </cols>
  <sheetData>
    <row r="1" spans="1:4" ht="17.399999999999999">
      <c r="A1" s="106" t="s">
        <v>98</v>
      </c>
      <c r="B1" s="106"/>
      <c r="C1" s="106"/>
    </row>
    <row r="2" spans="1:4" ht="15" thickBot="1"/>
    <row r="3" spans="1:4" ht="18.600000000000001" thickBot="1">
      <c r="A3" s="19" t="s">
        <v>94</v>
      </c>
      <c r="B3" s="112" t="s">
        <v>14</v>
      </c>
      <c r="C3" s="130" t="s">
        <v>2</v>
      </c>
      <c r="D3" s="132" t="s">
        <v>3</v>
      </c>
    </row>
    <row r="4" spans="1:4" ht="18.600000000000001" thickBot="1">
      <c r="A4" s="3" t="s">
        <v>4</v>
      </c>
      <c r="B4" s="113"/>
      <c r="C4" s="131"/>
      <c r="D4" s="133"/>
    </row>
    <row r="5" spans="1:4">
      <c r="A5" s="88" t="s">
        <v>145</v>
      </c>
      <c r="B5" s="6">
        <f>60*1300</f>
        <v>78000</v>
      </c>
      <c r="C5" s="5">
        <v>74442.11</v>
      </c>
      <c r="D5" s="5">
        <v>80000</v>
      </c>
    </row>
    <row r="6" spans="1:4">
      <c r="A6" s="88" t="s">
        <v>146</v>
      </c>
      <c r="B6" s="6">
        <v>10000</v>
      </c>
      <c r="C6" s="5">
        <v>8915.2900000000009</v>
      </c>
      <c r="D6" s="5">
        <v>10000</v>
      </c>
    </row>
    <row r="7" spans="1:4">
      <c r="A7" s="88" t="s">
        <v>147</v>
      </c>
      <c r="B7" s="6">
        <v>5000</v>
      </c>
      <c r="C7" s="5">
        <v>1000</v>
      </c>
      <c r="D7" s="5">
        <v>10000</v>
      </c>
    </row>
    <row r="8" spans="1:4">
      <c r="A8" s="88" t="s">
        <v>207</v>
      </c>
      <c r="B8" s="6"/>
      <c r="C8" s="5"/>
      <c r="D8" s="5"/>
    </row>
    <row r="9" spans="1:4" ht="15" thickBot="1">
      <c r="A9" s="88" t="s">
        <v>21</v>
      </c>
      <c r="B9" s="6"/>
      <c r="C9" s="36">
        <v>5372.99</v>
      </c>
      <c r="D9" s="36">
        <v>5000</v>
      </c>
    </row>
    <row r="10" spans="1:4" ht="15.6">
      <c r="A10" s="93" t="s">
        <v>81</v>
      </c>
      <c r="B10" s="8">
        <f>SUM(B5:B7)</f>
        <v>93000</v>
      </c>
      <c r="C10" s="20">
        <f>SUM(C5:C9)</f>
        <v>89730.39</v>
      </c>
      <c r="D10" s="20">
        <f>SUM(D5:D9)</f>
        <v>105000</v>
      </c>
    </row>
    <row r="11" spans="1:4">
      <c r="B11" s="6"/>
      <c r="C11" s="5"/>
      <c r="D11" s="5"/>
    </row>
    <row r="12" spans="1:4" ht="15" thickBot="1">
      <c r="B12" s="6"/>
      <c r="C12" s="5"/>
      <c r="D12" s="5"/>
    </row>
    <row r="13" spans="1:4" ht="18.600000000000001" thickBot="1">
      <c r="A13" s="3" t="s">
        <v>10</v>
      </c>
      <c r="B13" s="44" t="s">
        <v>14</v>
      </c>
      <c r="C13" s="44" t="s">
        <v>2</v>
      </c>
      <c r="D13" s="44" t="s">
        <v>3</v>
      </c>
    </row>
    <row r="14" spans="1:4">
      <c r="A14" s="88" t="s">
        <v>148</v>
      </c>
      <c r="B14" s="6">
        <v>26000</v>
      </c>
      <c r="C14" s="5">
        <v>26000</v>
      </c>
      <c r="D14" s="5">
        <v>27000</v>
      </c>
    </row>
    <row r="15" spans="1:4">
      <c r="A15" s="88" t="s">
        <v>69</v>
      </c>
      <c r="B15" s="5">
        <v>6000</v>
      </c>
      <c r="C15" s="5">
        <v>6500</v>
      </c>
      <c r="D15" s="5">
        <v>7500</v>
      </c>
    </row>
    <row r="16" spans="1:4">
      <c r="A16" s="88" t="s">
        <v>149</v>
      </c>
      <c r="B16" s="5">
        <v>5000</v>
      </c>
      <c r="C16" s="5">
        <v>5000</v>
      </c>
      <c r="D16" s="5">
        <v>5000</v>
      </c>
    </row>
    <row r="17" spans="1:4">
      <c r="A17" s="88" t="s">
        <v>150</v>
      </c>
      <c r="B17" s="6">
        <v>17000</v>
      </c>
      <c r="C17" s="5">
        <v>20995</v>
      </c>
      <c r="D17" s="5">
        <v>21000</v>
      </c>
    </row>
    <row r="18" spans="1:4">
      <c r="A18" s="88" t="s">
        <v>151</v>
      </c>
      <c r="B18" s="6">
        <v>10000</v>
      </c>
      <c r="C18" s="5">
        <v>6817.51</v>
      </c>
      <c r="D18" s="5">
        <v>15000</v>
      </c>
    </row>
    <row r="19" spans="1:4">
      <c r="A19" s="88" t="s">
        <v>209</v>
      </c>
      <c r="B19" s="6"/>
      <c r="C19" s="5"/>
      <c r="D19" s="5"/>
    </row>
    <row r="20" spans="1:4">
      <c r="A20" s="88" t="s">
        <v>152</v>
      </c>
      <c r="B20" s="6">
        <v>1350</v>
      </c>
      <c r="C20" s="5">
        <v>0</v>
      </c>
      <c r="D20" s="5">
        <v>1000</v>
      </c>
    </row>
    <row r="21" spans="1:4">
      <c r="A21" s="88" t="s">
        <v>189</v>
      </c>
      <c r="B21" s="6">
        <v>1000</v>
      </c>
      <c r="C21" s="5">
        <v>1600</v>
      </c>
      <c r="D21" s="5">
        <v>1600</v>
      </c>
    </row>
    <row r="22" spans="1:4">
      <c r="A22" s="88" t="s">
        <v>153</v>
      </c>
      <c r="B22" s="6">
        <v>300</v>
      </c>
      <c r="C22" s="5"/>
      <c r="D22" s="5">
        <v>1250</v>
      </c>
    </row>
    <row r="23" spans="1:4">
      <c r="A23" s="88" t="s">
        <v>114</v>
      </c>
      <c r="B23" s="6">
        <v>750</v>
      </c>
      <c r="C23" s="5">
        <v>825</v>
      </c>
      <c r="D23" s="5">
        <v>900</v>
      </c>
    </row>
    <row r="24" spans="1:4">
      <c r="A24" s="88" t="s">
        <v>154</v>
      </c>
      <c r="B24" s="6">
        <v>5000</v>
      </c>
      <c r="C24" s="5">
        <v>3410</v>
      </c>
      <c r="D24" s="5">
        <v>5000</v>
      </c>
    </row>
    <row r="25" spans="1:4">
      <c r="A25" s="88" t="s">
        <v>115</v>
      </c>
      <c r="B25" s="6">
        <v>1300</v>
      </c>
      <c r="C25" s="5">
        <v>2393.6</v>
      </c>
      <c r="D25" s="5">
        <v>1400</v>
      </c>
    </row>
    <row r="26" spans="1:4">
      <c r="A26" s="88" t="s">
        <v>155</v>
      </c>
      <c r="B26" s="6">
        <v>1500</v>
      </c>
      <c r="C26" s="5">
        <v>2082.9</v>
      </c>
      <c r="D26" s="5">
        <v>2000</v>
      </c>
    </row>
    <row r="27" spans="1:4">
      <c r="A27" s="88" t="s">
        <v>113</v>
      </c>
      <c r="B27" s="6">
        <v>5000</v>
      </c>
      <c r="C27" s="5">
        <v>11895.47</v>
      </c>
      <c r="D27" s="5">
        <v>12000</v>
      </c>
    </row>
    <row r="28" spans="1:4">
      <c r="A28" s="88" t="s">
        <v>156</v>
      </c>
      <c r="B28" s="6">
        <v>1500</v>
      </c>
      <c r="C28" s="5">
        <v>1913.56</v>
      </c>
      <c r="D28" s="5">
        <v>2000</v>
      </c>
    </row>
    <row r="29" spans="1:4">
      <c r="A29" s="88" t="s">
        <v>210</v>
      </c>
      <c r="B29" s="6">
        <v>750</v>
      </c>
      <c r="C29" s="5">
        <v>0</v>
      </c>
      <c r="D29" s="5">
        <v>2000</v>
      </c>
    </row>
    <row r="30" spans="1:4">
      <c r="A30" s="88" t="s">
        <v>208</v>
      </c>
      <c r="B30" s="6"/>
      <c r="C30" s="5"/>
      <c r="D30" s="5"/>
    </row>
    <row r="31" spans="1:4">
      <c r="A31" s="88" t="s">
        <v>116</v>
      </c>
      <c r="B31" s="6">
        <v>250</v>
      </c>
      <c r="C31" s="5">
        <v>225.35</v>
      </c>
      <c r="D31" s="5">
        <v>250</v>
      </c>
    </row>
    <row r="32" spans="1:4">
      <c r="A32" s="88" t="s">
        <v>188</v>
      </c>
      <c r="B32" s="6"/>
      <c r="C32" s="5">
        <v>2557.04</v>
      </c>
      <c r="D32" s="5">
        <v>0</v>
      </c>
    </row>
    <row r="33" spans="1:4" ht="15" thickBot="1">
      <c r="A33" s="88" t="s">
        <v>75</v>
      </c>
      <c r="B33" s="6">
        <v>500</v>
      </c>
      <c r="C33" s="36">
        <v>3057.38</v>
      </c>
      <c r="D33" s="36">
        <v>2000</v>
      </c>
    </row>
    <row r="34" spans="1:4" ht="15.6">
      <c r="A34" s="93" t="s">
        <v>11</v>
      </c>
      <c r="B34" s="8">
        <f>SUM(B14:B33)</f>
        <v>83200</v>
      </c>
      <c r="C34" s="20">
        <f>SUM(C14:C33)</f>
        <v>95272.810000000012</v>
      </c>
      <c r="D34" s="20">
        <f>SUM(D14:D33)</f>
        <v>106900</v>
      </c>
    </row>
    <row r="35" spans="1:4">
      <c r="A35" s="88"/>
      <c r="B35" s="6"/>
      <c r="C35" s="5"/>
      <c r="D35" s="5"/>
    </row>
    <row r="36" spans="1:4" ht="16.2" thickBot="1">
      <c r="A36" s="93" t="s">
        <v>12</v>
      </c>
      <c r="B36" s="15">
        <f>B10-B34</f>
        <v>9800</v>
      </c>
      <c r="C36" s="13">
        <f>C10-C34</f>
        <v>-5542.4200000000128</v>
      </c>
      <c r="D36" s="13">
        <f>D10-D34</f>
        <v>-1900</v>
      </c>
    </row>
    <row r="37" spans="1:4" ht="15" thickTop="1"/>
  </sheetData>
  <mergeCells count="4">
    <mergeCell ref="A1:C1"/>
    <mergeCell ref="B3:B4"/>
    <mergeCell ref="C3:C4"/>
    <mergeCell ref="D3:D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7A216-C790-4B22-9BD5-2C345BA49182}">
  <dimension ref="A1:D21"/>
  <sheetViews>
    <sheetView workbookViewId="0">
      <selection activeCell="C30" sqref="C30"/>
    </sheetView>
  </sheetViews>
  <sheetFormatPr defaultRowHeight="14.4"/>
  <cols>
    <col min="1" max="3" width="40.44140625" customWidth="1"/>
    <col min="4" max="4" width="34.88671875" customWidth="1"/>
  </cols>
  <sheetData>
    <row r="1" spans="1:4" ht="17.399999999999999">
      <c r="A1" s="106" t="s">
        <v>98</v>
      </c>
      <c r="B1" s="106"/>
      <c r="C1" s="106"/>
      <c r="D1" s="106"/>
    </row>
    <row r="2" spans="1:4" ht="15" thickBot="1"/>
    <row r="3" spans="1:4" ht="18.600000000000001" thickBot="1">
      <c r="A3" s="19" t="s">
        <v>157</v>
      </c>
      <c r="B3" s="107" t="s">
        <v>14</v>
      </c>
      <c r="C3" s="109" t="s">
        <v>2</v>
      </c>
      <c r="D3" s="107" t="s">
        <v>3</v>
      </c>
    </row>
    <row r="4" spans="1:4" ht="18.600000000000001" thickBot="1">
      <c r="A4" s="3" t="s">
        <v>4</v>
      </c>
      <c r="B4" s="108"/>
      <c r="C4" s="110"/>
      <c r="D4" s="108"/>
    </row>
    <row r="5" spans="1:4" ht="15" thickBot="1">
      <c r="A5" s="103" t="s">
        <v>158</v>
      </c>
      <c r="B5" s="6">
        <f>30.55*100</f>
        <v>3055</v>
      </c>
      <c r="C5" s="63">
        <v>2773.92</v>
      </c>
      <c r="D5" s="63">
        <f>(30.55*1.024)*95</f>
        <v>2971.904</v>
      </c>
    </row>
    <row r="6" spans="1:4" ht="15.6">
      <c r="A6" s="93" t="s">
        <v>81</v>
      </c>
      <c r="B6" s="8">
        <f>B5</f>
        <v>3055</v>
      </c>
      <c r="C6" s="20">
        <f>SUM(C5)</f>
        <v>2773.92</v>
      </c>
      <c r="D6" s="20">
        <f>SUM(D5)</f>
        <v>2971.904</v>
      </c>
    </row>
    <row r="7" spans="1:4">
      <c r="C7" s="5"/>
      <c r="D7" s="5"/>
    </row>
    <row r="8" spans="1:4" ht="15" thickBot="1">
      <c r="C8" s="5"/>
      <c r="D8" s="5"/>
    </row>
    <row r="9" spans="1:4" ht="18.600000000000001" thickBot="1">
      <c r="A9" s="3" t="s">
        <v>10</v>
      </c>
      <c r="B9" s="44" t="s">
        <v>14</v>
      </c>
      <c r="C9" s="66" t="s">
        <v>2</v>
      </c>
      <c r="D9" s="66" t="s">
        <v>3</v>
      </c>
    </row>
    <row r="10" spans="1:4">
      <c r="A10" s="88" t="s">
        <v>159</v>
      </c>
      <c r="B10" s="6">
        <v>1200</v>
      </c>
      <c r="C10" s="27">
        <v>130</v>
      </c>
      <c r="D10" s="5">
        <v>1300</v>
      </c>
    </row>
    <row r="11" spans="1:4">
      <c r="A11" s="88" t="s">
        <v>160</v>
      </c>
      <c r="B11" s="6">
        <f>18*40</f>
        <v>720</v>
      </c>
      <c r="C11" s="27">
        <v>360</v>
      </c>
      <c r="D11" s="5">
        <v>500</v>
      </c>
    </row>
    <row r="12" spans="1:4">
      <c r="A12" s="88" t="s">
        <v>161</v>
      </c>
      <c r="B12" s="5">
        <v>240</v>
      </c>
      <c r="C12" s="27">
        <v>0</v>
      </c>
      <c r="D12" s="5">
        <v>0</v>
      </c>
    </row>
    <row r="13" spans="1:4">
      <c r="A13" s="88" t="s">
        <v>162</v>
      </c>
      <c r="B13" s="5">
        <v>200</v>
      </c>
      <c r="C13" s="5">
        <v>0</v>
      </c>
      <c r="D13" s="5">
        <v>0</v>
      </c>
    </row>
    <row r="14" spans="1:4">
      <c r="A14" s="88" t="s">
        <v>163</v>
      </c>
      <c r="B14" s="5">
        <v>600</v>
      </c>
      <c r="C14" s="5">
        <v>0</v>
      </c>
      <c r="D14" s="5">
        <v>0</v>
      </c>
    </row>
    <row r="15" spans="1:4">
      <c r="A15" s="88" t="s">
        <v>164</v>
      </c>
      <c r="B15" s="5"/>
      <c r="C15" s="5"/>
      <c r="D15" s="5"/>
    </row>
    <row r="16" spans="1:4">
      <c r="A16" s="88" t="s">
        <v>211</v>
      </c>
      <c r="B16" s="5"/>
      <c r="C16" s="5"/>
      <c r="D16" s="5"/>
    </row>
    <row r="17" spans="1:4" ht="15" thickBot="1">
      <c r="A17" s="88" t="s">
        <v>75</v>
      </c>
      <c r="B17" s="6">
        <v>0</v>
      </c>
      <c r="C17" s="36">
        <v>50</v>
      </c>
      <c r="D17" s="36">
        <v>500</v>
      </c>
    </row>
    <row r="18" spans="1:4" ht="15.6">
      <c r="A18" s="93" t="s">
        <v>11</v>
      </c>
      <c r="B18" s="8">
        <f>SUM(B10:B17)</f>
        <v>2960</v>
      </c>
      <c r="C18" s="20">
        <f>SUM(C10:C17)</f>
        <v>540</v>
      </c>
      <c r="D18" s="20">
        <f>SUM(D10:D17)</f>
        <v>2300</v>
      </c>
    </row>
    <row r="19" spans="1:4">
      <c r="A19" s="88"/>
      <c r="B19" s="6"/>
      <c r="C19" s="5"/>
    </row>
    <row r="20" spans="1:4" ht="16.2" thickBot="1">
      <c r="A20" s="93" t="s">
        <v>12</v>
      </c>
      <c r="B20" s="15">
        <f>B6-B18</f>
        <v>95</v>
      </c>
      <c r="C20" s="13">
        <f>C6-C18</f>
        <v>2233.92</v>
      </c>
      <c r="D20" s="70">
        <f>D6-D18</f>
        <v>671.904</v>
      </c>
    </row>
    <row r="21" spans="1:4" ht="15" thickTop="1"/>
  </sheetData>
  <mergeCells count="4">
    <mergeCell ref="A1:D1"/>
    <mergeCell ref="B3:B4"/>
    <mergeCell ref="C3:C4"/>
    <mergeCell ref="D3:D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320AA-B1BF-471A-9496-EB272E8D7D82}">
  <dimension ref="A1:D26"/>
  <sheetViews>
    <sheetView tabSelected="1" workbookViewId="0">
      <selection activeCell="B29" sqref="B29"/>
    </sheetView>
  </sheetViews>
  <sheetFormatPr defaultRowHeight="14.4"/>
  <cols>
    <col min="1" max="3" width="34.44140625" customWidth="1"/>
    <col min="4" max="4" width="30.88671875" style="5" customWidth="1"/>
  </cols>
  <sheetData>
    <row r="1" spans="1:4" ht="17.399999999999999">
      <c r="A1" s="106" t="s">
        <v>98</v>
      </c>
      <c r="B1" s="106"/>
      <c r="C1" s="106"/>
      <c r="D1" s="106"/>
    </row>
    <row r="2" spans="1:4" ht="15" thickBot="1">
      <c r="D2"/>
    </row>
    <row r="3" spans="1:4" ht="18.600000000000001" thickBot="1">
      <c r="A3" s="19" t="s">
        <v>165</v>
      </c>
      <c r="B3" s="120" t="s">
        <v>14</v>
      </c>
      <c r="C3" s="119" t="s">
        <v>2</v>
      </c>
      <c r="D3" s="120" t="s">
        <v>3</v>
      </c>
    </row>
    <row r="4" spans="1:4" ht="18.600000000000001" thickBot="1">
      <c r="A4" s="44" t="s">
        <v>4</v>
      </c>
      <c r="B4" s="121"/>
      <c r="C4" s="110"/>
      <c r="D4" s="121"/>
    </row>
    <row r="5" spans="1:4">
      <c r="A5" s="88" t="s">
        <v>166</v>
      </c>
      <c r="B5" s="6">
        <f>225*125</f>
        <v>28125</v>
      </c>
      <c r="C5" s="77">
        <v>20315</v>
      </c>
      <c r="D5" s="5">
        <f>SUM(250*70)</f>
        <v>17500</v>
      </c>
    </row>
    <row r="6" spans="1:4">
      <c r="A6" s="100" t="s">
        <v>167</v>
      </c>
      <c r="C6" s="5"/>
    </row>
    <row r="7" spans="1:4">
      <c r="A7" s="100" t="s">
        <v>168</v>
      </c>
      <c r="C7" s="5"/>
      <c r="D7" s="5">
        <f>SUM(10*350)</f>
        <v>3500</v>
      </c>
    </row>
    <row r="8" spans="1:4">
      <c r="A8" s="100" t="s">
        <v>21</v>
      </c>
      <c r="C8" s="5">
        <v>1899.15</v>
      </c>
      <c r="D8" s="5">
        <v>2000</v>
      </c>
    </row>
    <row r="9" spans="1:4" ht="15" thickBot="1">
      <c r="A9" s="88" t="s">
        <v>196</v>
      </c>
      <c r="B9" s="6">
        <v>3500</v>
      </c>
      <c r="C9" s="36">
        <v>3192</v>
      </c>
      <c r="D9" s="36">
        <v>3500</v>
      </c>
    </row>
    <row r="10" spans="1:4" ht="15.6">
      <c r="A10" s="93" t="s">
        <v>81</v>
      </c>
      <c r="B10" s="8">
        <f>SUM(B5:B9)</f>
        <v>31625</v>
      </c>
      <c r="C10" s="20">
        <f>SUM(C5:C9)</f>
        <v>25406.15</v>
      </c>
      <c r="D10" s="20">
        <f>SUM(D5:D9)</f>
        <v>26500</v>
      </c>
    </row>
    <row r="11" spans="1:4">
      <c r="B11" s="6"/>
      <c r="C11" s="5"/>
    </row>
    <row r="12" spans="1:4" ht="15" thickBot="1">
      <c r="B12" s="6"/>
      <c r="C12" s="5"/>
    </row>
    <row r="13" spans="1:4" ht="18.600000000000001" thickBot="1">
      <c r="A13" s="44" t="s">
        <v>10</v>
      </c>
      <c r="B13" s="44" t="s">
        <v>14</v>
      </c>
      <c r="C13" s="66" t="s">
        <v>2</v>
      </c>
      <c r="D13" s="44" t="s">
        <v>3</v>
      </c>
    </row>
    <row r="14" spans="1:4">
      <c r="A14" s="88" t="s">
        <v>174</v>
      </c>
      <c r="B14" s="6">
        <v>28400</v>
      </c>
      <c r="C14" s="77">
        <v>20990.2</v>
      </c>
      <c r="D14" s="5">
        <v>0</v>
      </c>
    </row>
    <row r="15" spans="1:4">
      <c r="A15" s="88" t="s">
        <v>169</v>
      </c>
      <c r="B15" s="6">
        <v>500</v>
      </c>
      <c r="C15" s="5"/>
      <c r="D15" s="5">
        <v>500</v>
      </c>
    </row>
    <row r="16" spans="1:4">
      <c r="A16" s="88" t="s">
        <v>170</v>
      </c>
      <c r="B16" s="6">
        <v>300</v>
      </c>
      <c r="C16" s="5">
        <v>1035.43</v>
      </c>
      <c r="D16" s="5">
        <v>6500</v>
      </c>
    </row>
    <row r="17" spans="1:4">
      <c r="A17" s="88" t="s">
        <v>171</v>
      </c>
      <c r="B17" s="6">
        <v>0</v>
      </c>
      <c r="C17" s="5"/>
      <c r="D17" s="5">
        <v>300</v>
      </c>
    </row>
    <row r="18" spans="1:4">
      <c r="A18" s="88" t="s">
        <v>172</v>
      </c>
      <c r="B18" s="6">
        <v>400</v>
      </c>
      <c r="C18" s="5"/>
      <c r="D18" s="5">
        <v>1000</v>
      </c>
    </row>
    <row r="19" spans="1:4">
      <c r="A19" s="88" t="s">
        <v>184</v>
      </c>
      <c r="D19" s="5">
        <v>15000</v>
      </c>
    </row>
    <row r="20" spans="1:4">
      <c r="A20" s="88" t="s">
        <v>183</v>
      </c>
      <c r="C20" s="5">
        <v>829.44</v>
      </c>
      <c r="D20" s="5">
        <v>1000</v>
      </c>
    </row>
    <row r="21" spans="1:4">
      <c r="A21" s="88" t="s">
        <v>159</v>
      </c>
      <c r="B21" s="6">
        <v>2000</v>
      </c>
      <c r="C21" s="5">
        <v>1250</v>
      </c>
    </row>
    <row r="22" spans="1:4" ht="15" thickBot="1">
      <c r="A22" s="88" t="s">
        <v>75</v>
      </c>
      <c r="B22" s="82"/>
      <c r="C22" s="83">
        <v>601.1</v>
      </c>
      <c r="D22" s="84">
        <v>500</v>
      </c>
    </row>
    <row r="23" spans="1:4" ht="16.2" thickTop="1">
      <c r="A23" s="93" t="s">
        <v>11</v>
      </c>
      <c r="B23" s="20">
        <f>SUM(B14:B21)</f>
        <v>31600</v>
      </c>
      <c r="C23" s="20">
        <f>SUM(C14:C22)</f>
        <v>24706.17</v>
      </c>
      <c r="D23" s="20">
        <f>SUM(D14:D22)</f>
        <v>24800</v>
      </c>
    </row>
    <row r="24" spans="1:4">
      <c r="A24" s="88"/>
      <c r="B24" s="6"/>
      <c r="C24" s="5"/>
    </row>
    <row r="25" spans="1:4" ht="16.2" thickBot="1">
      <c r="A25" s="93" t="s">
        <v>12</v>
      </c>
      <c r="B25" s="15">
        <f>B10-B23</f>
        <v>25</v>
      </c>
      <c r="C25" s="31">
        <f>C10-C23</f>
        <v>699.9800000000032</v>
      </c>
      <c r="D25" s="13">
        <f>D10-D23</f>
        <v>1700</v>
      </c>
    </row>
    <row r="26" spans="1:4" ht="15" thickTop="1">
      <c r="C26" s="5"/>
    </row>
  </sheetData>
  <mergeCells count="4">
    <mergeCell ref="A1:D1"/>
    <mergeCell ref="B3:B4"/>
    <mergeCell ref="C3:C4"/>
    <mergeCell ref="D3:D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D3521-37C8-4A20-A387-7823512F3208}">
  <dimension ref="A1:D65"/>
  <sheetViews>
    <sheetView topLeftCell="A11" zoomScale="110" zoomScaleNormal="110" workbookViewId="0">
      <selection activeCell="E11" sqref="E1:K1048576"/>
    </sheetView>
  </sheetViews>
  <sheetFormatPr defaultRowHeight="14.4"/>
  <cols>
    <col min="1" max="3" width="36.88671875" customWidth="1"/>
    <col min="4" max="4" width="29.6640625" style="5" customWidth="1"/>
  </cols>
  <sheetData>
    <row r="1" spans="1:4" ht="20.399999999999999">
      <c r="A1" s="111" t="s">
        <v>18</v>
      </c>
      <c r="B1" s="111"/>
      <c r="C1" s="111"/>
      <c r="D1" s="111"/>
    </row>
    <row r="2" spans="1:4" ht="18" thickBot="1">
      <c r="A2" s="1"/>
      <c r="B2" s="7"/>
      <c r="D2"/>
    </row>
    <row r="3" spans="1:4" ht="15.75" customHeight="1" thickBot="1">
      <c r="B3" s="112" t="s">
        <v>1</v>
      </c>
      <c r="C3" s="114" t="s">
        <v>2</v>
      </c>
      <c r="D3" s="112" t="s">
        <v>3</v>
      </c>
    </row>
    <row r="4" spans="1:4" ht="19.5" customHeight="1" thickBot="1">
      <c r="A4" s="44" t="s">
        <v>4</v>
      </c>
      <c r="B4" s="113"/>
      <c r="C4" s="115"/>
      <c r="D4" s="113"/>
    </row>
    <row r="5" spans="1:4" ht="15.75" customHeight="1">
      <c r="A5" s="4" t="s">
        <v>185</v>
      </c>
      <c r="B5" s="6">
        <f>(78.11*2)*2650+15258.88</f>
        <v>429241.88</v>
      </c>
      <c r="C5" s="5">
        <v>208772.32</v>
      </c>
      <c r="D5" s="5">
        <f>((78.11*1.124)*2405)</f>
        <v>211148.51420000001</v>
      </c>
    </row>
    <row r="6" spans="1:4" ht="15.75" customHeight="1">
      <c r="A6" s="4" t="s">
        <v>186</v>
      </c>
      <c r="B6" s="6"/>
      <c r="C6" s="5">
        <v>199694.24</v>
      </c>
      <c r="D6" s="5">
        <f>((78.11*1.124)*2405)</f>
        <v>211148.51420000001</v>
      </c>
    </row>
    <row r="7" spans="1:4" ht="15.75" customHeight="1">
      <c r="A7" s="4" t="s">
        <v>187</v>
      </c>
      <c r="B7" s="6"/>
      <c r="C7" s="5">
        <v>15258.88</v>
      </c>
      <c r="D7" s="105">
        <v>14634.81</v>
      </c>
    </row>
    <row r="8" spans="1:4">
      <c r="A8" s="4" t="s">
        <v>19</v>
      </c>
      <c r="B8" s="5">
        <f>9*2650-SafeDrive!B5</f>
        <v>13250</v>
      </c>
      <c r="C8" s="75">
        <v>22756.5</v>
      </c>
      <c r="D8" s="5">
        <f>((5.06)*2*2542)</f>
        <v>25725.039999999997</v>
      </c>
    </row>
    <row r="9" spans="1:4">
      <c r="A9" s="4" t="s">
        <v>20</v>
      </c>
      <c r="B9" s="6">
        <v>500000</v>
      </c>
      <c r="C9" s="5">
        <v>520468.33</v>
      </c>
      <c r="D9" s="5">
        <v>555000</v>
      </c>
    </row>
    <row r="10" spans="1:4">
      <c r="A10" s="4" t="s">
        <v>21</v>
      </c>
      <c r="B10" s="5">
        <v>15000</v>
      </c>
      <c r="C10" s="5"/>
      <c r="D10" s="73"/>
    </row>
    <row r="11" spans="1:4">
      <c r="A11" s="4" t="s">
        <v>22</v>
      </c>
      <c r="B11" s="6">
        <v>12441</v>
      </c>
      <c r="C11" s="5">
        <v>15571</v>
      </c>
      <c r="D11" s="5">
        <f>12441*1.03296</f>
        <v>12851.055360000002</v>
      </c>
    </row>
    <row r="12" spans="1:4">
      <c r="A12" s="4" t="s">
        <v>23</v>
      </c>
      <c r="B12" s="5">
        <v>3500</v>
      </c>
      <c r="C12" s="5">
        <v>4834</v>
      </c>
      <c r="D12" s="5">
        <v>5000</v>
      </c>
    </row>
    <row r="13" spans="1:4">
      <c r="A13" s="4" t="s">
        <v>24</v>
      </c>
      <c r="B13" s="6">
        <v>3500</v>
      </c>
      <c r="C13" s="5"/>
      <c r="D13" s="5">
        <v>6000</v>
      </c>
    </row>
    <row r="14" spans="1:4">
      <c r="A14" s="4" t="s">
        <v>25</v>
      </c>
      <c r="B14" s="6">
        <v>4000</v>
      </c>
      <c r="C14" s="5">
        <v>4029.77</v>
      </c>
      <c r="D14" s="5">
        <v>4000</v>
      </c>
    </row>
    <row r="15" spans="1:4">
      <c r="A15" s="4" t="s">
        <v>26</v>
      </c>
      <c r="B15" s="6">
        <v>600</v>
      </c>
      <c r="C15" s="5">
        <v>465</v>
      </c>
      <c r="D15" s="5">
        <v>500</v>
      </c>
    </row>
    <row r="16" spans="1:4">
      <c r="A16" s="4" t="s">
        <v>27</v>
      </c>
      <c r="B16" s="6">
        <v>5000</v>
      </c>
      <c r="C16" s="5">
        <v>0</v>
      </c>
      <c r="D16" s="5">
        <v>2000</v>
      </c>
    </row>
    <row r="17" spans="1:4">
      <c r="A17" s="4" t="s">
        <v>28</v>
      </c>
      <c r="B17" s="6">
        <f>(5.59*2)*2650</f>
        <v>29627</v>
      </c>
      <c r="C17" s="5">
        <v>28268.63</v>
      </c>
      <c r="D17" s="5">
        <f>((5.59*1.1)*2*2542)</f>
        <v>31261.516</v>
      </c>
    </row>
    <row r="18" spans="1:4">
      <c r="A18" s="4" t="s">
        <v>29</v>
      </c>
      <c r="B18" s="5">
        <v>8775</v>
      </c>
      <c r="C18" s="5">
        <v>8775</v>
      </c>
      <c r="D18" s="5">
        <f>7052.83+1203.81</f>
        <v>8256.64</v>
      </c>
    </row>
    <row r="19" spans="1:4">
      <c r="A19" s="4" t="s">
        <v>30</v>
      </c>
      <c r="B19" s="5">
        <v>6000</v>
      </c>
      <c r="C19" s="5">
        <v>0</v>
      </c>
      <c r="D19" s="5">
        <v>0</v>
      </c>
    </row>
    <row r="20" spans="1:4">
      <c r="A20" s="4" t="s">
        <v>31</v>
      </c>
      <c r="B20" s="5">
        <f>10*250</f>
        <v>2500</v>
      </c>
      <c r="C20" s="5">
        <v>30</v>
      </c>
      <c r="D20" s="5">
        <v>1000</v>
      </c>
    </row>
    <row r="21" spans="1:4" ht="15" thickBot="1">
      <c r="A21" s="4" t="s">
        <v>190</v>
      </c>
      <c r="B21" s="5">
        <v>0</v>
      </c>
      <c r="C21" s="36">
        <v>1070.01</v>
      </c>
      <c r="D21" s="36">
        <v>0</v>
      </c>
    </row>
    <row r="22" spans="1:4" ht="15.6">
      <c r="A22" s="9" t="s">
        <v>9</v>
      </c>
      <c r="B22" s="8">
        <f>SUM(B5:B21)</f>
        <v>1033434.88</v>
      </c>
      <c r="C22" s="20">
        <f>SUM(C5:C21)</f>
        <v>1029993.68</v>
      </c>
      <c r="D22" s="20">
        <f>SUM(D5:D21)</f>
        <v>1088526.0897599999</v>
      </c>
    </row>
    <row r="23" spans="1:4">
      <c r="C23" s="5"/>
    </row>
    <row r="24" spans="1:4" ht="15" thickBot="1">
      <c r="C24" s="5"/>
    </row>
    <row r="25" spans="1:4" ht="18.600000000000001" thickBot="1">
      <c r="A25" s="44" t="s">
        <v>10</v>
      </c>
      <c r="B25" s="44" t="s">
        <v>14</v>
      </c>
      <c r="C25" s="64" t="s">
        <v>2</v>
      </c>
      <c r="D25" s="64" t="s">
        <v>3</v>
      </c>
    </row>
    <row r="26" spans="1:4">
      <c r="A26" s="4" t="s">
        <v>32</v>
      </c>
      <c r="B26" s="6">
        <v>500000</v>
      </c>
      <c r="C26" s="5">
        <v>520468.33</v>
      </c>
      <c r="D26" s="79">
        <v>550000</v>
      </c>
    </row>
    <row r="27" spans="1:4" ht="15.75" customHeight="1">
      <c r="A27" s="4" t="s">
        <v>33</v>
      </c>
      <c r="B27" s="6">
        <v>344540.99109999998</v>
      </c>
      <c r="C27" s="5">
        <f>268143.36</f>
        <v>268143.35999999999</v>
      </c>
      <c r="D27" s="5">
        <v>207457.1</v>
      </c>
    </row>
    <row r="28" spans="1:4" ht="15.75" customHeight="1">
      <c r="A28" s="4" t="s">
        <v>197</v>
      </c>
      <c r="B28" s="6"/>
      <c r="C28" s="5">
        <v>28803.5</v>
      </c>
      <c r="D28" s="5">
        <v>22820.27</v>
      </c>
    </row>
    <row r="29" spans="1:4" ht="15.75" customHeight="1">
      <c r="A29" s="4" t="s">
        <v>194</v>
      </c>
      <c r="B29" s="6"/>
      <c r="C29" s="5">
        <v>12395</v>
      </c>
      <c r="D29" s="5">
        <f>56100*1.1</f>
        <v>61710.000000000007</v>
      </c>
    </row>
    <row r="30" spans="1:4" ht="15.75" customHeight="1">
      <c r="A30" s="4" t="s">
        <v>176</v>
      </c>
      <c r="B30" s="6"/>
      <c r="C30" s="5">
        <v>10746.94</v>
      </c>
      <c r="D30" s="5">
        <v>9000</v>
      </c>
    </row>
    <row r="31" spans="1:4">
      <c r="A31" s="4" t="s">
        <v>34</v>
      </c>
      <c r="B31" s="6">
        <v>600</v>
      </c>
      <c r="C31" s="5"/>
      <c r="D31" s="5">
        <v>0</v>
      </c>
    </row>
    <row r="32" spans="1:4">
      <c r="A32" s="4" t="s">
        <v>35</v>
      </c>
      <c r="B32" s="6">
        <v>1000</v>
      </c>
      <c r="C32" s="5">
        <v>1980.4</v>
      </c>
      <c r="D32" s="5">
        <v>1000</v>
      </c>
    </row>
    <row r="33" spans="1:4">
      <c r="A33" s="4" t="s">
        <v>36</v>
      </c>
      <c r="B33" s="6">
        <v>500</v>
      </c>
      <c r="C33" s="5"/>
      <c r="D33" s="5">
        <v>500</v>
      </c>
    </row>
    <row r="34" spans="1:4">
      <c r="A34" s="4" t="s">
        <v>28</v>
      </c>
      <c r="B34" s="6">
        <f>B17</f>
        <v>29627</v>
      </c>
      <c r="C34" s="5">
        <v>28992.63</v>
      </c>
      <c r="D34" s="5">
        <f>D17</f>
        <v>31261.516</v>
      </c>
    </row>
    <row r="35" spans="1:4">
      <c r="A35" s="4" t="s">
        <v>37</v>
      </c>
      <c r="B35" s="5">
        <f>1*2*2650</f>
        <v>5300</v>
      </c>
      <c r="C35" s="5">
        <v>3619.66</v>
      </c>
      <c r="D35" s="5">
        <f>((1*1.124)*2*2542)</f>
        <v>5714.4160000000002</v>
      </c>
    </row>
    <row r="36" spans="1:4">
      <c r="A36" s="4" t="s">
        <v>38</v>
      </c>
      <c r="B36" s="5">
        <f>1.5*2*2650</f>
        <v>7950</v>
      </c>
      <c r="C36" s="5">
        <v>0</v>
      </c>
      <c r="D36" s="5">
        <f>(1.5*1.124)*2*2542</f>
        <v>8571.6240000000016</v>
      </c>
    </row>
    <row r="37" spans="1:4">
      <c r="A37" s="4" t="s">
        <v>178</v>
      </c>
      <c r="B37" s="6">
        <v>30000</v>
      </c>
      <c r="C37" s="5">
        <v>28144.2</v>
      </c>
      <c r="D37" s="5">
        <v>40000</v>
      </c>
    </row>
    <row r="38" spans="1:4">
      <c r="A38" s="4" t="s">
        <v>39</v>
      </c>
      <c r="B38" s="6">
        <v>20000</v>
      </c>
      <c r="C38" s="5">
        <v>18637.91</v>
      </c>
      <c r="D38" s="5">
        <v>20719.810000000001</v>
      </c>
    </row>
    <row r="39" spans="1:4">
      <c r="A39" s="4" t="s">
        <v>40</v>
      </c>
      <c r="B39" s="11">
        <v>18000</v>
      </c>
      <c r="C39" s="5">
        <v>5291.51</v>
      </c>
      <c r="D39" s="5">
        <v>12000</v>
      </c>
    </row>
    <row r="40" spans="1:4">
      <c r="A40" s="4" t="s">
        <v>41</v>
      </c>
      <c r="B40" s="6">
        <v>12000</v>
      </c>
      <c r="C40" s="5">
        <v>10472.84</v>
      </c>
      <c r="D40" s="5">
        <v>17000</v>
      </c>
    </row>
    <row r="41" spans="1:4">
      <c r="A41" s="4" t="s">
        <v>42</v>
      </c>
      <c r="B41" s="6">
        <v>16000</v>
      </c>
      <c r="C41" s="5">
        <v>15000</v>
      </c>
      <c r="D41" s="5">
        <v>0</v>
      </c>
    </row>
    <row r="42" spans="1:4">
      <c r="A42" s="4" t="s">
        <v>43</v>
      </c>
      <c r="B42" s="6">
        <v>6500</v>
      </c>
      <c r="C42" s="5">
        <v>3819.33</v>
      </c>
      <c r="D42" s="5">
        <v>4000</v>
      </c>
    </row>
    <row r="43" spans="1:4">
      <c r="A43" s="4" t="s">
        <v>179</v>
      </c>
      <c r="B43" s="11">
        <v>200</v>
      </c>
      <c r="C43" s="5">
        <v>1369.59</v>
      </c>
      <c r="D43" s="5">
        <v>1500</v>
      </c>
    </row>
    <row r="44" spans="1:4">
      <c r="A44" s="4" t="s">
        <v>44</v>
      </c>
      <c r="B44" s="6">
        <v>1550</v>
      </c>
      <c r="C44" s="5">
        <v>755.68</v>
      </c>
      <c r="D44" s="5">
        <v>1000</v>
      </c>
    </row>
    <row r="45" spans="1:4">
      <c r="A45" s="4" t="s">
        <v>45</v>
      </c>
      <c r="B45" s="14">
        <v>2000</v>
      </c>
      <c r="C45" s="5">
        <v>2977.63</v>
      </c>
      <c r="D45" s="5">
        <v>4000</v>
      </c>
    </row>
    <row r="46" spans="1:4">
      <c r="A46" s="4" t="s">
        <v>46</v>
      </c>
      <c r="B46" s="6">
        <v>1500</v>
      </c>
      <c r="C46" s="5">
        <v>1101.1400000000001</v>
      </c>
      <c r="D46" s="5">
        <v>1500</v>
      </c>
    </row>
    <row r="47" spans="1:4">
      <c r="A47" s="4" t="s">
        <v>47</v>
      </c>
      <c r="B47" s="6">
        <f>3420+(375*2)+(865*2)</f>
        <v>5900</v>
      </c>
      <c r="C47" s="11">
        <v>9195.7000000000007</v>
      </c>
      <c r="D47" s="5">
        <v>7000</v>
      </c>
    </row>
    <row r="48" spans="1:4">
      <c r="A48" s="4" t="s">
        <v>48</v>
      </c>
      <c r="B48" s="6">
        <v>1000</v>
      </c>
      <c r="C48" s="5">
        <v>628.74</v>
      </c>
      <c r="D48" s="5">
        <v>1000</v>
      </c>
    </row>
    <row r="49" spans="1:4">
      <c r="A49" s="4" t="s">
        <v>49</v>
      </c>
      <c r="B49" s="6">
        <v>600</v>
      </c>
      <c r="C49" s="5">
        <v>735</v>
      </c>
      <c r="D49" s="5">
        <v>1000</v>
      </c>
    </row>
    <row r="50" spans="1:4">
      <c r="A50" s="4" t="s">
        <v>50</v>
      </c>
      <c r="B50" s="6">
        <v>3500</v>
      </c>
      <c r="C50" s="5">
        <v>1876.56</v>
      </c>
      <c r="D50" s="5">
        <v>3000</v>
      </c>
    </row>
    <row r="51" spans="1:4">
      <c r="A51" s="4" t="s">
        <v>51</v>
      </c>
      <c r="B51" s="6">
        <v>500</v>
      </c>
      <c r="C51" s="5">
        <v>359.1</v>
      </c>
      <c r="D51" s="5">
        <v>500</v>
      </c>
    </row>
    <row r="52" spans="1:4">
      <c r="A52" s="4" t="s">
        <v>173</v>
      </c>
      <c r="B52" s="5"/>
      <c r="C52" s="5">
        <v>3938.11</v>
      </c>
      <c r="D52" s="5">
        <f>SUM(2000+5650+1200)</f>
        <v>8850</v>
      </c>
    </row>
    <row r="53" spans="1:4">
      <c r="A53" s="4" t="s">
        <v>52</v>
      </c>
      <c r="B53" s="5">
        <v>2000</v>
      </c>
      <c r="C53" s="5"/>
      <c r="D53" s="5">
        <v>1000</v>
      </c>
    </row>
    <row r="54" spans="1:4">
      <c r="A54" s="4" t="s">
        <v>193</v>
      </c>
      <c r="B54" s="5">
        <v>1000</v>
      </c>
      <c r="C54" s="5">
        <v>515.38</v>
      </c>
      <c r="D54" s="5">
        <v>0</v>
      </c>
    </row>
    <row r="55" spans="1:4">
      <c r="A55" s="4" t="s">
        <v>53</v>
      </c>
      <c r="B55" s="5">
        <v>250</v>
      </c>
      <c r="C55" s="5"/>
      <c r="D55" s="5">
        <v>250</v>
      </c>
    </row>
    <row r="56" spans="1:4">
      <c r="A56" s="4" t="s">
        <v>54</v>
      </c>
      <c r="B56" s="5">
        <v>3000</v>
      </c>
      <c r="C56" s="5"/>
      <c r="D56" s="5">
        <v>0</v>
      </c>
    </row>
    <row r="57" spans="1:4">
      <c r="A57" s="4" t="s">
        <v>191</v>
      </c>
      <c r="B57" s="5"/>
      <c r="C57" s="5">
        <v>896.97</v>
      </c>
      <c r="D57" s="5">
        <v>1000</v>
      </c>
    </row>
    <row r="58" spans="1:4">
      <c r="A58" s="4" t="s">
        <v>192</v>
      </c>
      <c r="B58" s="5"/>
      <c r="C58" s="5">
        <v>-940</v>
      </c>
    </row>
    <row r="59" spans="1:4">
      <c r="A59" s="4" t="s">
        <v>203</v>
      </c>
      <c r="B59" s="5"/>
      <c r="C59" s="5"/>
      <c r="D59" s="5">
        <v>3000</v>
      </c>
    </row>
    <row r="60" spans="1:4">
      <c r="A60" s="4" t="s">
        <v>31</v>
      </c>
      <c r="B60" s="5">
        <f>7*500</f>
        <v>3500</v>
      </c>
      <c r="C60" s="5">
        <v>3500</v>
      </c>
      <c r="D60" s="5">
        <v>0</v>
      </c>
    </row>
    <row r="61" spans="1:4" ht="15" thickBot="1">
      <c r="A61" s="4" t="s">
        <v>199</v>
      </c>
      <c r="C61" s="81">
        <v>1500</v>
      </c>
      <c r="D61" s="81">
        <v>2000</v>
      </c>
    </row>
    <row r="62" spans="1:4" ht="15.6">
      <c r="A62" s="9" t="s">
        <v>11</v>
      </c>
      <c r="B62" s="12">
        <f>SUM(B26:B60)</f>
        <v>1018517.9911</v>
      </c>
      <c r="C62" s="20">
        <f>SUM(C26:C61)</f>
        <v>984925.20999999985</v>
      </c>
      <c r="D62" s="20">
        <f>SUM(D26:D61)</f>
        <v>1028354.7359999999</v>
      </c>
    </row>
    <row r="63" spans="1:4">
      <c r="C63" s="5"/>
    </row>
    <row r="64" spans="1:4" ht="16.2" thickBot="1">
      <c r="A64" s="9" t="s">
        <v>12</v>
      </c>
      <c r="B64" s="13">
        <f>B22-B62</f>
        <v>14916.88890000002</v>
      </c>
      <c r="C64" s="13">
        <f>C22-C62</f>
        <v>45068.470000000205</v>
      </c>
      <c r="D64" s="13">
        <f>D22-D62</f>
        <v>60171.353759999969</v>
      </c>
    </row>
    <row r="65" ht="15" thickTop="1"/>
  </sheetData>
  <mergeCells count="4">
    <mergeCell ref="A1:D1"/>
    <mergeCell ref="B3:B4"/>
    <mergeCell ref="C3:C4"/>
    <mergeCell ref="D3:D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72B82-0FB5-4136-9000-0EB355C75FC7}">
  <dimension ref="A1:F18"/>
  <sheetViews>
    <sheetView zoomScale="110" zoomScaleNormal="110" workbookViewId="0">
      <selection activeCell="E1" sqref="E1:E1048576"/>
    </sheetView>
  </sheetViews>
  <sheetFormatPr defaultRowHeight="14.4"/>
  <cols>
    <col min="1" max="1" width="31.5546875" customWidth="1"/>
    <col min="2" max="2" width="44.33203125" customWidth="1"/>
    <col min="3" max="3" width="26.5546875" style="5" customWidth="1"/>
    <col min="4" max="4" width="19.33203125" style="5" customWidth="1"/>
  </cols>
  <sheetData>
    <row r="1" spans="1:6" ht="25.5" customHeight="1">
      <c r="A1" s="118" t="s">
        <v>55</v>
      </c>
      <c r="B1" s="118"/>
      <c r="C1" s="29"/>
      <c r="D1"/>
      <c r="E1" s="29"/>
      <c r="F1" s="29"/>
    </row>
    <row r="2" spans="1:6" ht="15" thickBot="1">
      <c r="C2"/>
      <c r="D2"/>
    </row>
    <row r="3" spans="1:6" ht="15" thickBot="1">
      <c r="B3" s="116" t="s">
        <v>14</v>
      </c>
      <c r="C3" s="119" t="s">
        <v>2</v>
      </c>
      <c r="D3" s="120" t="s">
        <v>3</v>
      </c>
    </row>
    <row r="4" spans="1:6" ht="17.25" customHeight="1" thickBot="1">
      <c r="A4" s="21" t="s">
        <v>4</v>
      </c>
      <c r="B4" s="117"/>
      <c r="C4" s="110"/>
      <c r="D4" s="121"/>
    </row>
    <row r="5" spans="1:6">
      <c r="A5" s="4" t="s">
        <v>56</v>
      </c>
      <c r="B5" s="5">
        <f>Gait!B8</f>
        <v>321000</v>
      </c>
      <c r="C5" s="5">
        <f>Gait!C8</f>
        <v>266129.38</v>
      </c>
      <c r="D5" s="5">
        <f>Gait!D8</f>
        <v>283000</v>
      </c>
    </row>
    <row r="6" spans="1:6">
      <c r="A6" s="4" t="s">
        <v>175</v>
      </c>
      <c r="B6" s="5">
        <v>0</v>
      </c>
      <c r="C6" s="5">
        <f>0</f>
        <v>0</v>
      </c>
      <c r="D6" s="5">
        <v>0</v>
      </c>
    </row>
    <row r="7" spans="1:6" ht="15" thickBot="1">
      <c r="A7" s="30" t="s">
        <v>57</v>
      </c>
      <c r="B7" s="36">
        <f>SafeDrive!B9</f>
        <v>31283</v>
      </c>
      <c r="C7" s="36">
        <f>SafeDrive!C9</f>
        <v>21797</v>
      </c>
      <c r="D7" s="36">
        <f>SafeDrive!D9</f>
        <v>14428.832</v>
      </c>
    </row>
    <row r="8" spans="1:6" ht="15.6">
      <c r="A8" s="9" t="s">
        <v>9</v>
      </c>
      <c r="B8" s="20">
        <f>SUM(B5:B7)</f>
        <v>352283</v>
      </c>
      <c r="C8" s="20">
        <f>SUM(C5:C7)</f>
        <v>287926.38</v>
      </c>
      <c r="D8" s="20">
        <f>SUM(D5:D7)</f>
        <v>297428.83199999999</v>
      </c>
    </row>
    <row r="9" spans="1:6">
      <c r="B9" s="5"/>
    </row>
    <row r="10" spans="1:6" ht="15" thickBot="1"/>
    <row r="11" spans="1:6" ht="21.6" thickBot="1">
      <c r="A11" s="21" t="s">
        <v>10</v>
      </c>
      <c r="B11" s="37" t="s">
        <v>14</v>
      </c>
      <c r="C11" s="37" t="s">
        <v>2</v>
      </c>
      <c r="D11" s="37" t="s">
        <v>3</v>
      </c>
    </row>
    <row r="12" spans="1:6" ht="15" customHeight="1">
      <c r="A12" s="4" t="s">
        <v>56</v>
      </c>
      <c r="B12" s="5">
        <f>Gait!B25</f>
        <v>312650.054</v>
      </c>
      <c r="C12" s="5">
        <f>Gait!C25</f>
        <v>254413.40999999997</v>
      </c>
      <c r="D12" s="5">
        <f>Gait!D25</f>
        <v>275638.59999999998</v>
      </c>
    </row>
    <row r="13" spans="1:6">
      <c r="A13" s="4" t="s">
        <v>175</v>
      </c>
      <c r="B13" s="5">
        <f>'Student Success Centre'!B10</f>
        <v>25722</v>
      </c>
      <c r="C13" s="5">
        <f>'Student Success Centre'!C10</f>
        <v>22447.62</v>
      </c>
      <c r="D13" s="5">
        <f>'Student Success Centre'!D10</f>
        <v>14700</v>
      </c>
    </row>
    <row r="14" spans="1:6" ht="15" thickBot="1">
      <c r="A14" s="30" t="s">
        <v>57</v>
      </c>
      <c r="B14" s="36">
        <f>SafeDrive!B15</f>
        <v>25381.599999999999</v>
      </c>
      <c r="C14" s="36">
        <f>SafeDrive!C15</f>
        <v>16092.57</v>
      </c>
      <c r="D14" s="36">
        <f>SafeDrive!D15</f>
        <v>18700</v>
      </c>
    </row>
    <row r="15" spans="1:6" ht="15.6">
      <c r="A15" s="9" t="s">
        <v>11</v>
      </c>
      <c r="B15" s="20">
        <f>SUM(B12:B14)</f>
        <v>363753.65399999998</v>
      </c>
      <c r="C15" s="20">
        <f>SUM(C12:C14)</f>
        <v>292953.59999999998</v>
      </c>
      <c r="D15" s="20">
        <f>SUM(D12:D14)</f>
        <v>309038.59999999998</v>
      </c>
    </row>
    <row r="16" spans="1:6">
      <c r="A16" s="4"/>
      <c r="B16" s="5"/>
    </row>
    <row r="17" spans="1:4" ht="16.2" thickBot="1">
      <c r="A17" s="32" t="s">
        <v>12</v>
      </c>
      <c r="B17" s="13">
        <f>B8-B15</f>
        <v>-11470.65399999998</v>
      </c>
      <c r="C17" s="13">
        <f>C8-C15</f>
        <v>-5027.2199999999721</v>
      </c>
      <c r="D17" s="13">
        <f>D8-D15</f>
        <v>-11609.767999999982</v>
      </c>
    </row>
    <row r="18" spans="1:4" ht="15" thickTop="1"/>
  </sheetData>
  <mergeCells count="4">
    <mergeCell ref="B3:B4"/>
    <mergeCell ref="A1:B1"/>
    <mergeCell ref="C3:C4"/>
    <mergeCell ref="D3:D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EE184-1C67-4535-9B80-5A0349F4ABB6}">
  <dimension ref="A1:D28"/>
  <sheetViews>
    <sheetView zoomScale="110" zoomScaleNormal="110" workbookViewId="0">
      <selection activeCell="E1" sqref="E1:J1048576"/>
    </sheetView>
  </sheetViews>
  <sheetFormatPr defaultRowHeight="14.4"/>
  <cols>
    <col min="1" max="2" width="35.44140625" customWidth="1"/>
    <col min="3" max="3" width="35.44140625" style="5" customWidth="1"/>
    <col min="4" max="4" width="43.33203125" style="5" customWidth="1"/>
  </cols>
  <sheetData>
    <row r="1" spans="1:4" ht="20.399999999999999">
      <c r="A1" s="111" t="s">
        <v>58</v>
      </c>
      <c r="B1" s="111"/>
      <c r="C1" s="111"/>
      <c r="D1"/>
    </row>
    <row r="2" spans="1:4" ht="15.75" customHeight="1" thickBot="1">
      <c r="C2"/>
      <c r="D2"/>
    </row>
    <row r="3" spans="1:4" ht="15.75" customHeight="1" thickBot="1">
      <c r="B3" s="107" t="s">
        <v>14</v>
      </c>
      <c r="C3" s="109" t="s">
        <v>2</v>
      </c>
      <c r="D3" s="107" t="s">
        <v>3</v>
      </c>
    </row>
    <row r="4" spans="1:4" ht="18.600000000000001" thickBot="1">
      <c r="A4" s="21" t="s">
        <v>4</v>
      </c>
      <c r="B4" s="108"/>
      <c r="C4" s="110"/>
      <c r="D4" s="108"/>
    </row>
    <row r="5" spans="1:4">
      <c r="A5" s="4" t="s">
        <v>59</v>
      </c>
      <c r="B5" s="5">
        <v>300000</v>
      </c>
      <c r="C5" s="77">
        <v>238802.55</v>
      </c>
      <c r="D5" s="5">
        <v>255000</v>
      </c>
    </row>
    <row r="6" spans="1:4" ht="14.25" customHeight="1">
      <c r="A6" s="4" t="s">
        <v>60</v>
      </c>
      <c r="B6" s="6">
        <v>16000</v>
      </c>
      <c r="C6" s="77">
        <v>17991.25</v>
      </c>
      <c r="D6" s="5">
        <v>18000</v>
      </c>
    </row>
    <row r="7" spans="1:4" ht="15" thickBot="1">
      <c r="A7" s="4" t="s">
        <v>61</v>
      </c>
      <c r="B7" s="5">
        <v>5000</v>
      </c>
      <c r="C7" s="77">
        <v>9335.58</v>
      </c>
      <c r="D7" s="36">
        <v>10000</v>
      </c>
    </row>
    <row r="8" spans="1:4" ht="15.6">
      <c r="A8" s="9" t="s">
        <v>9</v>
      </c>
      <c r="B8" s="8">
        <f>SUM(B5:B7)</f>
        <v>321000</v>
      </c>
      <c r="C8" s="20">
        <f>SUM(C5:C7)</f>
        <v>266129.38</v>
      </c>
      <c r="D8" s="20">
        <f>SUM(D5:D7)</f>
        <v>283000</v>
      </c>
    </row>
    <row r="9" spans="1:4" ht="15.75" customHeight="1" thickBot="1"/>
    <row r="10" spans="1:4" ht="18.600000000000001" thickBot="1">
      <c r="A10" s="3" t="s">
        <v>10</v>
      </c>
      <c r="B10" s="64" t="s">
        <v>14</v>
      </c>
      <c r="C10" s="71" t="s">
        <v>2</v>
      </c>
      <c r="D10" s="71" t="s">
        <v>3</v>
      </c>
    </row>
    <row r="11" spans="1:4" ht="14.4" customHeight="1">
      <c r="A11" s="4" t="s">
        <v>198</v>
      </c>
      <c r="B11" s="6">
        <f>115900-'Orientation Week'!B32-'Orientation Week'!B31</f>
        <v>113100</v>
      </c>
      <c r="C11" s="5">
        <v>115438.03</v>
      </c>
      <c r="D11" s="5">
        <v>125000</v>
      </c>
    </row>
    <row r="12" spans="1:4">
      <c r="A12" s="4" t="s">
        <v>62</v>
      </c>
      <c r="B12" s="6">
        <v>115000</v>
      </c>
      <c r="C12" s="5">
        <v>82406.27</v>
      </c>
      <c r="D12" s="5">
        <v>85000</v>
      </c>
    </row>
    <row r="13" spans="1:4">
      <c r="A13" s="4" t="s">
        <v>63</v>
      </c>
      <c r="B13" s="6">
        <v>13466.584000000001</v>
      </c>
      <c r="C13" s="5">
        <v>7545.54</v>
      </c>
      <c r="D13" s="5">
        <v>10000</v>
      </c>
    </row>
    <row r="14" spans="1:4">
      <c r="A14" s="4" t="s">
        <v>64</v>
      </c>
      <c r="B14" s="6">
        <v>6500</v>
      </c>
      <c r="C14" s="77">
        <v>6573.68</v>
      </c>
      <c r="D14" s="5">
        <v>10000</v>
      </c>
    </row>
    <row r="15" spans="1:4">
      <c r="A15" s="4" t="s">
        <v>65</v>
      </c>
      <c r="B15" s="6">
        <v>5000</v>
      </c>
      <c r="C15" s="5">
        <v>2746</v>
      </c>
      <c r="D15" s="5">
        <v>4000</v>
      </c>
    </row>
    <row r="16" spans="1:4">
      <c r="A16" s="4" t="s">
        <v>66</v>
      </c>
      <c r="B16" s="6">
        <v>11500</v>
      </c>
      <c r="C16" s="5">
        <v>6937.62</v>
      </c>
      <c r="D16" s="5">
        <v>5500</v>
      </c>
    </row>
    <row r="17" spans="1:4">
      <c r="A17" s="4" t="s">
        <v>67</v>
      </c>
      <c r="B17" s="5">
        <v>1465</v>
      </c>
      <c r="C17" s="5">
        <v>3764.43</v>
      </c>
      <c r="D17" s="5">
        <v>0</v>
      </c>
    </row>
    <row r="18" spans="1:4">
      <c r="A18" s="4" t="s">
        <v>68</v>
      </c>
      <c r="B18" s="5">
        <v>8500</v>
      </c>
      <c r="D18" s="5">
        <v>2000</v>
      </c>
    </row>
    <row r="19" spans="1:4">
      <c r="A19" s="4" t="s">
        <v>180</v>
      </c>
      <c r="B19" s="74">
        <v>2580</v>
      </c>
      <c r="C19" s="77">
        <v>2580</v>
      </c>
      <c r="D19" s="5">
        <v>2600</v>
      </c>
    </row>
    <row r="20" spans="1:4">
      <c r="A20" s="4" t="s">
        <v>69</v>
      </c>
      <c r="B20" s="76">
        <v>7215.8</v>
      </c>
      <c r="C20" s="77">
        <v>7215.8</v>
      </c>
      <c r="D20" s="5">
        <v>6038.6</v>
      </c>
    </row>
    <row r="21" spans="1:4">
      <c r="A21" s="4" t="s">
        <v>70</v>
      </c>
      <c r="B21" s="6">
        <f>5670</f>
        <v>5670</v>
      </c>
      <c r="C21" s="5">
        <v>4356.7</v>
      </c>
      <c r="D21" s="5">
        <v>6000</v>
      </c>
    </row>
    <row r="22" spans="1:4">
      <c r="A22" s="4" t="s">
        <v>71</v>
      </c>
      <c r="B22" s="6">
        <v>5000</v>
      </c>
      <c r="C22" s="5">
        <v>4939.8100000000004</v>
      </c>
      <c r="D22" s="5">
        <v>5000</v>
      </c>
    </row>
    <row r="23" spans="1:4">
      <c r="A23" s="4" t="s">
        <v>51</v>
      </c>
      <c r="B23" s="6">
        <f>2500</f>
        <v>2500</v>
      </c>
      <c r="C23" s="77">
        <f>7369.13-3764.43</f>
        <v>3604.7000000000003</v>
      </c>
      <c r="D23" s="5">
        <v>6000</v>
      </c>
    </row>
    <row r="24" spans="1:4" ht="15" thickBot="1">
      <c r="A24" s="4" t="s">
        <v>72</v>
      </c>
      <c r="B24" s="6">
        <f>5487.57+8000+575.1+90+1000</f>
        <v>15152.67</v>
      </c>
      <c r="C24" s="36">
        <v>6304.83</v>
      </c>
      <c r="D24" s="36">
        <v>8500</v>
      </c>
    </row>
    <row r="25" spans="1:4" ht="15.6">
      <c r="A25" s="9" t="s">
        <v>11</v>
      </c>
      <c r="B25" s="12">
        <f>SUM(B11:B24)</f>
        <v>312650.054</v>
      </c>
      <c r="C25" s="20">
        <f>SUM(C11:C24)</f>
        <v>254413.40999999997</v>
      </c>
      <c r="D25" s="20">
        <f>SUM(D11:D24)</f>
        <v>275638.59999999998</v>
      </c>
    </row>
    <row r="26" spans="1:4">
      <c r="B26" s="6"/>
    </row>
    <row r="27" spans="1:4" ht="16.2" thickBot="1">
      <c r="A27" s="9" t="s">
        <v>73</v>
      </c>
      <c r="B27" s="15">
        <f>B8-B25</f>
        <v>8349.9459999999963</v>
      </c>
      <c r="C27" s="13">
        <f>C8-C25</f>
        <v>11715.97000000003</v>
      </c>
      <c r="D27" s="13">
        <f>D8-D25</f>
        <v>7361.4000000000233</v>
      </c>
    </row>
    <row r="28" spans="1:4" ht="15" thickTop="1"/>
  </sheetData>
  <mergeCells count="4">
    <mergeCell ref="A1:C1"/>
    <mergeCell ref="B3:B4"/>
    <mergeCell ref="C3:C4"/>
    <mergeCell ref="D3:D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269E3-DED9-4810-9697-B5527E4C3E75}">
  <dimension ref="A1:D18"/>
  <sheetViews>
    <sheetView workbookViewId="0">
      <selection activeCell="E1" sqref="E1:F1048576"/>
    </sheetView>
  </sheetViews>
  <sheetFormatPr defaultRowHeight="14.4"/>
  <cols>
    <col min="1" max="1" width="29.109375" customWidth="1"/>
    <col min="2" max="2" width="29.109375" style="5" customWidth="1"/>
    <col min="3" max="3" width="23.5546875" style="5" customWidth="1"/>
    <col min="4" max="4" width="22.44140625" style="5" customWidth="1"/>
  </cols>
  <sheetData>
    <row r="1" spans="1:4">
      <c r="B1"/>
      <c r="C1"/>
      <c r="D1"/>
    </row>
    <row r="2" spans="1:4">
      <c r="A2" s="122" t="s">
        <v>74</v>
      </c>
      <c r="B2" s="122"/>
      <c r="C2" s="122"/>
      <c r="D2"/>
    </row>
    <row r="3" spans="1:4">
      <c r="A3" s="122"/>
      <c r="B3" s="122"/>
      <c r="C3" s="122"/>
      <c r="D3"/>
    </row>
    <row r="4" spans="1:4" ht="15" thickBot="1">
      <c r="B4"/>
      <c r="C4"/>
      <c r="D4"/>
    </row>
    <row r="5" spans="1:4" ht="15" thickBot="1">
      <c r="B5" s="116" t="s">
        <v>14</v>
      </c>
      <c r="C5" s="109" t="s">
        <v>2</v>
      </c>
      <c r="D5" s="107" t="s">
        <v>3</v>
      </c>
    </row>
    <row r="6" spans="1:4" ht="18" customHeight="1" thickBot="1">
      <c r="A6" s="34" t="s">
        <v>10</v>
      </c>
      <c r="B6" s="117"/>
      <c r="C6" s="110"/>
      <c r="D6" s="108"/>
    </row>
    <row r="7" spans="1:4" ht="16.5" customHeight="1">
      <c r="A7" s="88" t="s">
        <v>177</v>
      </c>
      <c r="B7" s="5">
        <v>3000</v>
      </c>
      <c r="C7" s="5">
        <v>2271</v>
      </c>
      <c r="D7" s="5">
        <v>6000</v>
      </c>
    </row>
    <row r="8" spans="1:4" ht="16.5" customHeight="1">
      <c r="A8" s="88" t="s">
        <v>75</v>
      </c>
      <c r="B8" s="5">
        <v>300</v>
      </c>
      <c r="D8" s="5">
        <v>500</v>
      </c>
    </row>
    <row r="9" spans="1:4" ht="16.5" customHeight="1" thickBot="1">
      <c r="A9" s="89" t="s">
        <v>76</v>
      </c>
      <c r="B9" s="48">
        <f>6400*1.2+(12285*1.2)</f>
        <v>22422</v>
      </c>
      <c r="C9" s="36">
        <v>20176.62</v>
      </c>
      <c r="D9" s="36">
        <v>8200</v>
      </c>
    </row>
    <row r="10" spans="1:4" ht="16.5" customHeight="1">
      <c r="A10" s="90" t="s">
        <v>11</v>
      </c>
      <c r="B10" s="41">
        <f>SUM(B7:B9)</f>
        <v>25722</v>
      </c>
      <c r="C10" s="20">
        <f>SUM(C7:C9)</f>
        <v>22447.62</v>
      </c>
      <c r="D10" s="20">
        <f>SUM(D7:D9)</f>
        <v>14700</v>
      </c>
    </row>
    <row r="11" spans="1:4" ht="16.5" customHeight="1"/>
    <row r="12" spans="1:4" ht="16.5" customHeight="1" thickBot="1">
      <c r="A12" s="91" t="s">
        <v>12</v>
      </c>
      <c r="B12" s="72">
        <f>B4-B10</f>
        <v>-25722</v>
      </c>
      <c r="C12" s="72">
        <f>C4-C10</f>
        <v>-22447.62</v>
      </c>
      <c r="D12" s="13">
        <f>-D10</f>
        <v>-14700</v>
      </c>
    </row>
    <row r="13" spans="1:4" ht="16.5" customHeight="1" thickTop="1">
      <c r="A13" s="42"/>
      <c r="B13" s="40"/>
    </row>
    <row r="14" spans="1:4" ht="16.5" customHeight="1">
      <c r="A14" s="42"/>
      <c r="B14" s="40"/>
    </row>
    <row r="15" spans="1:4" ht="16.5" customHeight="1">
      <c r="A15" s="42"/>
      <c r="B15" s="40"/>
    </row>
    <row r="16" spans="1:4" ht="16.5" customHeight="1">
      <c r="A16" s="42"/>
      <c r="B16" s="40"/>
    </row>
    <row r="17" spans="1:3" ht="16.5" customHeight="1">
      <c r="A17" s="42"/>
      <c r="B17" s="40"/>
    </row>
    <row r="18" spans="1:3" ht="16.5" customHeight="1">
      <c r="C18" s="33"/>
    </row>
  </sheetData>
  <mergeCells count="4">
    <mergeCell ref="A2:C3"/>
    <mergeCell ref="B5:B6"/>
    <mergeCell ref="C5:C6"/>
    <mergeCell ref="D5:D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1274E-2D1F-4B12-99D7-1DD63EA3E26E}">
  <dimension ref="A1:E23"/>
  <sheetViews>
    <sheetView zoomScale="110" zoomScaleNormal="110" workbookViewId="0">
      <selection activeCell="E1" sqref="E1:E1048576"/>
    </sheetView>
  </sheetViews>
  <sheetFormatPr defaultRowHeight="14.4"/>
  <cols>
    <col min="1" max="1" width="30" customWidth="1"/>
    <col min="2" max="2" width="38.6640625" customWidth="1"/>
    <col min="3" max="3" width="28.88671875" customWidth="1"/>
    <col min="4" max="4" width="32.33203125" style="5" customWidth="1"/>
    <col min="5" max="5" width="41.6640625" bestFit="1" customWidth="1"/>
  </cols>
  <sheetData>
    <row r="1" spans="1:5" ht="21">
      <c r="A1" s="123" t="s">
        <v>77</v>
      </c>
      <c r="B1" s="123"/>
      <c r="C1" s="123"/>
      <c r="D1" s="43"/>
    </row>
    <row r="2" spans="1:5" ht="15" thickBot="1">
      <c r="D2"/>
    </row>
    <row r="3" spans="1:5" ht="15.75" customHeight="1" thickBot="1">
      <c r="B3" s="116" t="s">
        <v>14</v>
      </c>
      <c r="C3" s="109" t="s">
        <v>2</v>
      </c>
      <c r="D3" s="107" t="s">
        <v>3</v>
      </c>
      <c r="E3" s="52"/>
    </row>
    <row r="4" spans="1:5" ht="19.5" customHeight="1" thickBot="1">
      <c r="A4" s="35" t="s">
        <v>4</v>
      </c>
      <c r="B4" s="117"/>
      <c r="C4" s="110"/>
      <c r="D4" s="108"/>
      <c r="E4" s="52"/>
    </row>
    <row r="5" spans="1:5">
      <c r="A5" s="88" t="s">
        <v>78</v>
      </c>
      <c r="B5" s="5">
        <f>2*2*2650</f>
        <v>10600</v>
      </c>
      <c r="C5" s="5">
        <v>10114</v>
      </c>
      <c r="D5" s="5">
        <f>(2*1.124)*2*2542</f>
        <v>11428.832</v>
      </c>
      <c r="E5" s="53"/>
    </row>
    <row r="6" spans="1:5" ht="15" customHeight="1">
      <c r="A6" s="88" t="s">
        <v>79</v>
      </c>
      <c r="B6" s="5">
        <v>5000</v>
      </c>
      <c r="C6" s="5">
        <v>2500</v>
      </c>
      <c r="D6" s="5">
        <v>2500</v>
      </c>
      <c r="E6" s="52"/>
    </row>
    <row r="7" spans="1:5" ht="15" customHeight="1">
      <c r="A7" s="88" t="s">
        <v>80</v>
      </c>
      <c r="B7" s="5">
        <v>9183</v>
      </c>
      <c r="C7" s="5">
        <v>9183</v>
      </c>
      <c r="E7" s="80"/>
    </row>
    <row r="8" spans="1:5" ht="15" thickBot="1">
      <c r="A8" s="92" t="s">
        <v>43</v>
      </c>
      <c r="B8" s="36">
        <v>6500</v>
      </c>
      <c r="C8" s="36">
        <v>0</v>
      </c>
      <c r="D8" s="36">
        <v>500</v>
      </c>
      <c r="E8" s="54"/>
    </row>
    <row r="9" spans="1:5" ht="15.6">
      <c r="A9" s="93" t="s">
        <v>81</v>
      </c>
      <c r="B9" s="20">
        <f>SUM(B5:B8)</f>
        <v>31283</v>
      </c>
      <c r="C9" s="20">
        <f>SUM(C5:C8)</f>
        <v>21797</v>
      </c>
      <c r="D9" s="20">
        <f>SUM(D5:D8)</f>
        <v>14428.832</v>
      </c>
      <c r="E9" s="55"/>
    </row>
    <row r="10" spans="1:5" ht="15" thickBot="1">
      <c r="A10" s="88"/>
      <c r="B10" s="5"/>
      <c r="C10" s="5"/>
      <c r="E10" s="56"/>
    </row>
    <row r="11" spans="1:5" ht="19.5" customHeight="1" thickBot="1">
      <c r="A11" s="94" t="s">
        <v>10</v>
      </c>
      <c r="B11" s="38" t="s">
        <v>14</v>
      </c>
      <c r="C11" s="65" t="s">
        <v>2</v>
      </c>
      <c r="D11" s="65" t="s">
        <v>3</v>
      </c>
      <c r="E11" s="54"/>
    </row>
    <row r="12" spans="1:5">
      <c r="A12" s="88" t="s">
        <v>76</v>
      </c>
      <c r="B12" s="5">
        <v>18261.599999999999</v>
      </c>
      <c r="C12" s="5">
        <v>12802.08</v>
      </c>
      <c r="D12" s="5">
        <v>15000</v>
      </c>
      <c r="E12" s="54"/>
    </row>
    <row r="13" spans="1:5">
      <c r="A13" s="88" t="s">
        <v>181</v>
      </c>
      <c r="B13" s="5">
        <f>240*28+400</f>
        <v>7120</v>
      </c>
      <c r="C13" s="5">
        <v>2967.17</v>
      </c>
      <c r="D13" s="5">
        <v>3200</v>
      </c>
      <c r="E13" s="54"/>
    </row>
    <row r="14" spans="1:5" ht="15" thickBot="1">
      <c r="A14" s="92" t="s">
        <v>75</v>
      </c>
      <c r="B14" s="61"/>
      <c r="C14" s="61">
        <v>323.32</v>
      </c>
      <c r="D14" s="36">
        <v>500</v>
      </c>
    </row>
    <row r="15" spans="1:5" ht="15.6">
      <c r="A15" s="93" t="s">
        <v>11</v>
      </c>
      <c r="B15" s="20">
        <f>SUM(B12:B13)</f>
        <v>25381.599999999999</v>
      </c>
      <c r="C15" s="20">
        <f>SUM(C12:C14)</f>
        <v>16092.57</v>
      </c>
      <c r="D15" s="20">
        <f>SUM(D12:D14)</f>
        <v>18700</v>
      </c>
      <c r="E15" s="54"/>
    </row>
    <row r="16" spans="1:5">
      <c r="A16" s="88"/>
      <c r="C16" s="5"/>
      <c r="E16" s="56"/>
    </row>
    <row r="17" spans="1:5" ht="16.2" thickBot="1">
      <c r="A17" s="93" t="s">
        <v>12</v>
      </c>
      <c r="B17" s="13">
        <f>B9-B15</f>
        <v>5901.4000000000015</v>
      </c>
      <c r="C17" s="13">
        <f>C9-C15</f>
        <v>5704.43</v>
      </c>
      <c r="D17" s="13">
        <f>D9-D15</f>
        <v>-4271.1679999999997</v>
      </c>
      <c r="E17" s="52"/>
    </row>
    <row r="18" spans="1:5" ht="15" thickTop="1">
      <c r="E18" s="54"/>
    </row>
    <row r="19" spans="1:5">
      <c r="E19" s="52"/>
    </row>
    <row r="20" spans="1:5">
      <c r="E20" s="52"/>
    </row>
    <row r="22" spans="1:5">
      <c r="B22" s="4"/>
    </row>
    <row r="23" spans="1:5">
      <c r="B23" s="4"/>
    </row>
  </sheetData>
  <mergeCells count="4">
    <mergeCell ref="B3:B4"/>
    <mergeCell ref="A1:C1"/>
    <mergeCell ref="C3:C4"/>
    <mergeCell ref="D3:D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98061-7269-4749-9A1F-6441424CB7C5}">
  <dimension ref="A1:E28"/>
  <sheetViews>
    <sheetView workbookViewId="0">
      <selection activeCell="E1" sqref="E1:E1048576"/>
    </sheetView>
  </sheetViews>
  <sheetFormatPr defaultRowHeight="14.4"/>
  <cols>
    <col min="1" max="3" width="34" customWidth="1"/>
    <col min="4" max="4" width="31.33203125" customWidth="1"/>
  </cols>
  <sheetData>
    <row r="1" spans="1:5" ht="15" customHeight="1">
      <c r="A1" s="111" t="s">
        <v>90</v>
      </c>
      <c r="B1" s="111"/>
      <c r="C1" s="111"/>
      <c r="D1" s="111"/>
    </row>
    <row r="2" spans="1:5" ht="15" customHeight="1" thickBot="1">
      <c r="A2" s="16"/>
      <c r="B2" s="16"/>
      <c r="C2" s="16"/>
      <c r="D2" s="16"/>
    </row>
    <row r="3" spans="1:5" ht="13.5" customHeight="1" thickBot="1">
      <c r="A3" s="18"/>
      <c r="B3" s="124" t="s">
        <v>91</v>
      </c>
      <c r="C3" s="109" t="s">
        <v>2</v>
      </c>
      <c r="D3" s="107" t="s">
        <v>3</v>
      </c>
    </row>
    <row r="4" spans="1:5" ht="19.5" customHeight="1" thickBot="1">
      <c r="A4" s="22" t="s">
        <v>4</v>
      </c>
      <c r="B4" s="125"/>
      <c r="C4" s="110"/>
      <c r="D4" s="108"/>
    </row>
    <row r="5" spans="1:5" ht="15" customHeight="1">
      <c r="A5" s="95" t="s">
        <v>92</v>
      </c>
      <c r="B5" s="23">
        <f>'Orientation Week'!B14</f>
        <v>98092</v>
      </c>
      <c r="C5" s="5">
        <f>'Orientation Week'!C14</f>
        <v>86872.909999999989</v>
      </c>
      <c r="D5" s="5">
        <f>'Orientation Week'!D14</f>
        <v>105528.86324000001</v>
      </c>
    </row>
    <row r="6" spans="1:5" ht="15" customHeight="1">
      <c r="A6" s="96" t="s">
        <v>93</v>
      </c>
      <c r="B6" s="27">
        <f>HallowFest!B8</f>
        <v>1000</v>
      </c>
      <c r="C6" s="28">
        <f>HallowFest!C8</f>
        <v>5189.26</v>
      </c>
      <c r="D6" s="5">
        <f>HallowFest!D8</f>
        <v>7000</v>
      </c>
    </row>
    <row r="7" spans="1:5" ht="15" customHeight="1">
      <c r="A7" s="97" t="s">
        <v>94</v>
      </c>
      <c r="B7" s="23">
        <f>Winterfest!B10</f>
        <v>93000</v>
      </c>
      <c r="C7" s="5">
        <f>Winterfest!C10</f>
        <v>89730.39</v>
      </c>
      <c r="D7" s="5">
        <f>Winterfest!D10</f>
        <v>105000</v>
      </c>
      <c r="E7" s="23"/>
    </row>
    <row r="8" spans="1:5" ht="15" customHeight="1">
      <c r="A8" s="95" t="s">
        <v>95</v>
      </c>
      <c r="B8" s="5">
        <f>'Winter O-Week'!B6</f>
        <v>3055</v>
      </c>
      <c r="C8" s="5">
        <f>'Winter O-Week'!C6</f>
        <v>2773.92</v>
      </c>
      <c r="D8" s="5">
        <f>'Winter O-Week'!D6</f>
        <v>2971.904</v>
      </c>
      <c r="E8" s="23"/>
    </row>
    <row r="9" spans="1:5" ht="15" customHeight="1">
      <c r="A9" s="95" t="s">
        <v>96</v>
      </c>
      <c r="B9" s="5">
        <f>'Grad Formal'!B10</f>
        <v>31625</v>
      </c>
      <c r="C9" s="5">
        <f>'Grad Formal'!C10</f>
        <v>25406.15</v>
      </c>
      <c r="D9" s="5">
        <f>'Grad Formal'!D10</f>
        <v>26500</v>
      </c>
      <c r="E9" s="23"/>
    </row>
    <row r="10" spans="1:5" ht="15" customHeight="1" thickBot="1">
      <c r="A10" s="95" t="s">
        <v>200</v>
      </c>
      <c r="E10" s="23"/>
    </row>
    <row r="11" spans="1:5" ht="15" customHeight="1">
      <c r="A11" s="98" t="s">
        <v>81</v>
      </c>
      <c r="B11" s="8">
        <f>SUM(B5:B9)</f>
        <v>226772</v>
      </c>
      <c r="C11" s="62">
        <f>SUM(C5:C10)</f>
        <v>209972.63</v>
      </c>
      <c r="D11" s="20">
        <f>SUM(D5:D10)</f>
        <v>247000.76724000002</v>
      </c>
    </row>
    <row r="12" spans="1:5" ht="15" customHeight="1">
      <c r="A12" s="95"/>
      <c r="B12" s="6"/>
      <c r="C12" s="16"/>
      <c r="D12" s="5"/>
    </row>
    <row r="13" spans="1:5" ht="15" customHeight="1" thickBot="1">
      <c r="A13" s="95"/>
      <c r="B13" s="6"/>
      <c r="C13" s="17" t="s">
        <v>97</v>
      </c>
      <c r="D13" s="5"/>
    </row>
    <row r="14" spans="1:5" ht="18.75" customHeight="1" thickBot="1">
      <c r="A14" s="99" t="s">
        <v>10</v>
      </c>
      <c r="B14" s="66" t="s">
        <v>91</v>
      </c>
      <c r="C14" s="67" t="s">
        <v>2</v>
      </c>
      <c r="D14" s="69" t="s">
        <v>3</v>
      </c>
    </row>
    <row r="15" spans="1:5" ht="15" customHeight="1">
      <c r="A15" s="95" t="s">
        <v>92</v>
      </c>
      <c r="B15" s="25">
        <f>'Orientation Week'!B51</f>
        <v>101915.26</v>
      </c>
      <c r="C15" s="60">
        <f>'Orientation Week'!C51</f>
        <v>87527.5</v>
      </c>
      <c r="D15" s="5">
        <f>'Orientation Week'!D51</f>
        <v>108500</v>
      </c>
    </row>
    <row r="16" spans="1:5" ht="15" customHeight="1">
      <c r="A16" s="95" t="s">
        <v>93</v>
      </c>
      <c r="B16" s="28">
        <f>HallowFest!B17</f>
        <v>2450</v>
      </c>
      <c r="C16" s="28">
        <f>HallowFest!C17</f>
        <v>1969.8899999999999</v>
      </c>
      <c r="D16" s="5">
        <f>HallowFest!D17</f>
        <v>5000</v>
      </c>
    </row>
    <row r="17" spans="1:4" ht="15" customHeight="1">
      <c r="A17" s="97" t="s">
        <v>94</v>
      </c>
      <c r="B17" s="25">
        <f>Winterfest!B34</f>
        <v>83200</v>
      </c>
      <c r="C17" s="28">
        <f>Winterfest!C34</f>
        <v>95272.810000000012</v>
      </c>
      <c r="D17" s="5">
        <f>Winterfest!D34</f>
        <v>106900</v>
      </c>
    </row>
    <row r="18" spans="1:4" ht="15" customHeight="1">
      <c r="A18" s="95" t="s">
        <v>95</v>
      </c>
      <c r="B18" s="25">
        <f>'Winter O-Week'!B18</f>
        <v>2960</v>
      </c>
      <c r="C18" s="5">
        <f>'Winter O-Week'!C18</f>
        <v>540</v>
      </c>
      <c r="D18" s="5">
        <f>'Winter O-Week'!D18</f>
        <v>2300</v>
      </c>
    </row>
    <row r="19" spans="1:4" ht="15" customHeight="1">
      <c r="A19" s="95" t="s">
        <v>96</v>
      </c>
      <c r="B19" s="25">
        <f>'Grad Formal'!B23</f>
        <v>31600</v>
      </c>
      <c r="C19" s="28">
        <f>'Grad Formal'!C23</f>
        <v>24706.17</v>
      </c>
      <c r="D19" s="5">
        <f>'Grad Formal'!D23</f>
        <v>24800</v>
      </c>
    </row>
    <row r="20" spans="1:4" ht="15" customHeight="1">
      <c r="A20" s="95" t="s">
        <v>200</v>
      </c>
      <c r="B20" s="25"/>
      <c r="C20" s="5">
        <v>1737.51</v>
      </c>
      <c r="D20" s="5">
        <v>1500</v>
      </c>
    </row>
    <row r="21" spans="1:4" ht="15" customHeight="1">
      <c r="A21" s="98" t="s">
        <v>11</v>
      </c>
      <c r="B21" s="104">
        <f>SUM(B15:B19)</f>
        <v>222125.26</v>
      </c>
      <c r="C21" s="104">
        <f>SUM(C15:C20)</f>
        <v>211753.88</v>
      </c>
      <c r="D21" s="104">
        <f>SUM(D15:D20)</f>
        <v>249000</v>
      </c>
    </row>
    <row r="22" spans="1:4" ht="15" customHeight="1">
      <c r="A22" s="95"/>
      <c r="B22" s="14"/>
      <c r="C22" s="18"/>
      <c r="D22" s="5"/>
    </row>
    <row r="23" spans="1:4" ht="15" customHeight="1" thickBot="1">
      <c r="A23" s="98" t="s">
        <v>12</v>
      </c>
      <c r="B23" s="15">
        <f>B11-B21</f>
        <v>4646.7399999999907</v>
      </c>
      <c r="C23" s="13">
        <f>C11-C21</f>
        <v>-1781.25</v>
      </c>
      <c r="D23" s="13">
        <f>D11-D21</f>
        <v>-1999.2327599999844</v>
      </c>
    </row>
    <row r="24" spans="1:4" ht="15" customHeight="1" thickTop="1"/>
    <row r="25" spans="1:4" ht="15" customHeight="1"/>
    <row r="26" spans="1:4" ht="15" customHeight="1"/>
    <row r="27" spans="1:4" ht="15" customHeight="1"/>
    <row r="28" spans="1:4" ht="15" customHeight="1"/>
  </sheetData>
  <mergeCells count="4">
    <mergeCell ref="A1:D1"/>
    <mergeCell ref="B3:B4"/>
    <mergeCell ref="C3:C4"/>
    <mergeCell ref="D3:D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031EB-B95C-4E88-8228-F9858FF4953B}">
  <dimension ref="A1:D24"/>
  <sheetViews>
    <sheetView zoomScale="110" zoomScaleNormal="110" workbookViewId="0">
      <selection activeCell="E1" sqref="E1:E1048576"/>
    </sheetView>
  </sheetViews>
  <sheetFormatPr defaultRowHeight="14.4"/>
  <cols>
    <col min="1" max="3" width="32.5546875" customWidth="1"/>
    <col min="4" max="4" width="24.5546875" style="5" customWidth="1"/>
  </cols>
  <sheetData>
    <row r="1" spans="1:4">
      <c r="D1"/>
    </row>
    <row r="2" spans="1:4" ht="15" customHeight="1">
      <c r="A2" s="122" t="s">
        <v>82</v>
      </c>
      <c r="B2" s="122"/>
      <c r="C2" s="122"/>
      <c r="D2" s="39"/>
    </row>
    <row r="3" spans="1:4" ht="15" customHeight="1" thickBot="1">
      <c r="A3" s="122"/>
      <c r="B3" s="122"/>
      <c r="C3" s="122"/>
      <c r="D3" s="39"/>
    </row>
    <row r="4" spans="1:4" ht="15.75" customHeight="1" thickBot="1">
      <c r="B4" s="116" t="s">
        <v>14</v>
      </c>
      <c r="C4" s="109" t="s">
        <v>2</v>
      </c>
      <c r="D4" s="107" t="s">
        <v>3</v>
      </c>
    </row>
    <row r="5" spans="1:4" ht="15.75" customHeight="1" thickBot="1">
      <c r="A5" s="21" t="s">
        <v>4</v>
      </c>
      <c r="B5" s="117"/>
      <c r="C5" s="110"/>
      <c r="D5" s="108"/>
    </row>
    <row r="6" spans="1:4" ht="16.5" customHeight="1">
      <c r="A6" s="88" t="s">
        <v>83</v>
      </c>
      <c r="B6" s="6">
        <v>4123.8</v>
      </c>
      <c r="C6" s="74">
        <v>4496.55</v>
      </c>
      <c r="D6" s="5">
        <v>4124</v>
      </c>
    </row>
    <row r="7" spans="1:4" ht="15.75" customHeight="1">
      <c r="A7" s="88" t="s">
        <v>84</v>
      </c>
      <c r="B7" s="6">
        <f>(7.41*2)*2650+7906.52</f>
        <v>47179.520000000004</v>
      </c>
      <c r="C7" s="5">
        <v>37442.370000000003</v>
      </c>
      <c r="D7" s="5">
        <f>7.41*1.024*2*2542</f>
        <v>38576.578560000002</v>
      </c>
    </row>
    <row r="8" spans="1:4" ht="15.75" customHeight="1">
      <c r="A8" s="88" t="s">
        <v>85</v>
      </c>
      <c r="B8" s="14">
        <v>500</v>
      </c>
      <c r="C8" s="85">
        <v>420</v>
      </c>
      <c r="D8" s="5">
        <v>400</v>
      </c>
    </row>
    <row r="9" spans="1:4" ht="15.75" customHeight="1">
      <c r="A9" s="88" t="s">
        <v>86</v>
      </c>
      <c r="B9" s="14"/>
      <c r="C9" s="78"/>
      <c r="D9" s="5">
        <v>500</v>
      </c>
    </row>
    <row r="10" spans="1:4" ht="15.75" customHeight="1">
      <c r="A10" s="88" t="s">
        <v>182</v>
      </c>
      <c r="B10" s="86"/>
      <c r="C10" s="87">
        <v>225</v>
      </c>
      <c r="D10" s="81">
        <v>500</v>
      </c>
    </row>
    <row r="11" spans="1:4" ht="15.75" customHeight="1">
      <c r="A11" s="93" t="s">
        <v>81</v>
      </c>
      <c r="B11" s="20">
        <f>SUM(B6:B8)</f>
        <v>51803.320000000007</v>
      </c>
      <c r="C11" s="20">
        <f>SUM(C6:C8)</f>
        <v>42358.920000000006</v>
      </c>
      <c r="D11" s="20">
        <f>SUM(D6:D10)</f>
        <v>44100.578560000002</v>
      </c>
    </row>
    <row r="12" spans="1:4" ht="15.75" customHeight="1">
      <c r="C12" s="5"/>
    </row>
    <row r="13" spans="1:4" ht="15.75" customHeight="1" thickBot="1">
      <c r="C13" s="5"/>
    </row>
    <row r="14" spans="1:4" ht="15.75" customHeight="1" thickBot="1">
      <c r="B14" s="116" t="s">
        <v>14</v>
      </c>
      <c r="C14" s="116" t="s">
        <v>2</v>
      </c>
      <c r="D14" s="116" t="s">
        <v>3</v>
      </c>
    </row>
    <row r="15" spans="1:4" ht="15.75" customHeight="1" thickBot="1">
      <c r="A15" s="34" t="s">
        <v>10</v>
      </c>
      <c r="B15" s="117"/>
      <c r="C15" s="117"/>
      <c r="D15" s="117"/>
    </row>
    <row r="16" spans="1:4" ht="15.75" customHeight="1">
      <c r="A16" s="100" t="s">
        <v>202</v>
      </c>
      <c r="B16" s="5">
        <f>3500+2500+2000+1500+(9005*0.2)+32500+(32500*0.2)-4000</f>
        <v>46301</v>
      </c>
      <c r="C16" s="77">
        <v>43121.87</v>
      </c>
      <c r="D16" s="5">
        <v>61960</v>
      </c>
    </row>
    <row r="17" spans="1:4" ht="15.75" customHeight="1">
      <c r="A17" s="88" t="s">
        <v>87</v>
      </c>
      <c r="B17" s="6">
        <f>'Comms '!B7</f>
        <v>47179.520000000004</v>
      </c>
      <c r="C17" s="5">
        <v>37677.9</v>
      </c>
      <c r="D17" s="5">
        <f>D7</f>
        <v>38576.578560000002</v>
      </c>
    </row>
    <row r="18" spans="1:4" ht="15.75" customHeight="1">
      <c r="A18" s="88" t="s">
        <v>88</v>
      </c>
      <c r="B18" s="6">
        <v>7500</v>
      </c>
      <c r="C18" s="5">
        <v>7500</v>
      </c>
      <c r="D18" s="5">
        <v>7725</v>
      </c>
    </row>
    <row r="19" spans="1:4" ht="15.75" customHeight="1">
      <c r="A19" s="88" t="s">
        <v>89</v>
      </c>
      <c r="B19" s="5">
        <f>667+207+575+747.5+431.24</f>
        <v>2627.74</v>
      </c>
      <c r="C19" s="5">
        <v>1640.39</v>
      </c>
      <c r="D19" s="5">
        <v>2500</v>
      </c>
    </row>
    <row r="20" spans="1:4" ht="15.75" customHeight="1" thickBot="1">
      <c r="A20" s="88" t="s">
        <v>195</v>
      </c>
      <c r="B20" s="36">
        <f>46+914.25+566.61+604.9+260.41</f>
        <v>2392.17</v>
      </c>
      <c r="C20" s="36"/>
      <c r="D20" s="36">
        <v>0</v>
      </c>
    </row>
    <row r="21" spans="1:4" ht="15.75" customHeight="1">
      <c r="A21" s="90" t="s">
        <v>11</v>
      </c>
      <c r="B21" s="41">
        <f>SUM(B16:B20)</f>
        <v>106000.43000000001</v>
      </c>
      <c r="C21" s="20">
        <f>SUM(C16:C20)</f>
        <v>89940.160000000003</v>
      </c>
      <c r="D21" s="20">
        <f>SUM(D16:D20)</f>
        <v>110761.57855999999</v>
      </c>
    </row>
    <row r="22" spans="1:4" ht="15.75" customHeight="1">
      <c r="A22" s="88"/>
      <c r="C22" s="5"/>
    </row>
    <row r="23" spans="1:4" ht="16.2" thickBot="1">
      <c r="A23" s="93" t="s">
        <v>12</v>
      </c>
      <c r="B23" s="46">
        <f>B11-B21</f>
        <v>-54197.11</v>
      </c>
      <c r="C23" s="31">
        <f>C11-C21</f>
        <v>-47581.24</v>
      </c>
      <c r="D23" s="13">
        <f>D11-D21</f>
        <v>-66661</v>
      </c>
    </row>
    <row r="24" spans="1:4" ht="15" thickTop="1"/>
  </sheetData>
  <mergeCells count="7">
    <mergeCell ref="A2:C3"/>
    <mergeCell ref="B4:B5"/>
    <mergeCell ref="B14:B15"/>
    <mergeCell ref="D4:D5"/>
    <mergeCell ref="C14:C15"/>
    <mergeCell ref="D14:D15"/>
    <mergeCell ref="C4:C5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487B0-B1F7-4277-9C7F-78BCEB762B0A}">
  <dimension ref="A1:D63"/>
  <sheetViews>
    <sheetView topLeftCell="B2" workbookViewId="0">
      <selection activeCell="E2" sqref="E1:S1048576"/>
    </sheetView>
  </sheetViews>
  <sheetFormatPr defaultRowHeight="14.4"/>
  <cols>
    <col min="1" max="1" width="38.33203125" customWidth="1"/>
    <col min="2" max="3" width="32.44140625" customWidth="1"/>
    <col min="4" max="4" width="30.6640625" style="5" customWidth="1"/>
  </cols>
  <sheetData>
    <row r="1" spans="1:4" ht="15" customHeight="1">
      <c r="A1" s="106" t="s">
        <v>98</v>
      </c>
      <c r="B1" s="106"/>
      <c r="C1" s="106"/>
      <c r="D1" s="106"/>
    </row>
    <row r="2" spans="1:4" ht="15" customHeight="1" thickBot="1">
      <c r="B2" s="2" t="s">
        <v>99</v>
      </c>
      <c r="C2" s="2" t="s">
        <v>100</v>
      </c>
      <c r="D2"/>
    </row>
    <row r="3" spans="1:4" ht="15.75" customHeight="1" thickBot="1">
      <c r="A3" s="19" t="s">
        <v>92</v>
      </c>
      <c r="B3" s="107" t="s">
        <v>14</v>
      </c>
      <c r="C3" s="126" t="s">
        <v>2</v>
      </c>
      <c r="D3" s="107" t="s">
        <v>3</v>
      </c>
    </row>
    <row r="4" spans="1:4" ht="21.75" customHeight="1" thickBot="1">
      <c r="A4" s="3" t="s">
        <v>4</v>
      </c>
      <c r="B4" s="108"/>
      <c r="C4" s="127"/>
      <c r="D4" s="108"/>
    </row>
    <row r="5" spans="1:4" ht="15" customHeight="1">
      <c r="A5" s="102" t="s">
        <v>101</v>
      </c>
      <c r="B5" s="6">
        <f>700*102.61</f>
        <v>71827</v>
      </c>
      <c r="C5" s="6">
        <v>69862.23</v>
      </c>
      <c r="D5" s="5">
        <f>641*(102.61*1.124)</f>
        <v>73928.863240000006</v>
      </c>
    </row>
    <row r="6" spans="1:4" ht="15" customHeight="1">
      <c r="A6" s="102" t="s">
        <v>102</v>
      </c>
      <c r="B6" s="6">
        <f>54*105</f>
        <v>5670</v>
      </c>
      <c r="C6" s="6">
        <f>5880-581</f>
        <v>5299</v>
      </c>
      <c r="D6" s="5">
        <v>5000</v>
      </c>
    </row>
    <row r="7" spans="1:4" ht="15" customHeight="1">
      <c r="A7" s="102" t="s">
        <v>103</v>
      </c>
      <c r="B7" s="6">
        <v>2500</v>
      </c>
      <c r="C7" s="6">
        <v>0</v>
      </c>
      <c r="D7" s="5">
        <v>2000</v>
      </c>
    </row>
    <row r="8" spans="1:4" ht="15" customHeight="1">
      <c r="A8" s="102" t="s">
        <v>104</v>
      </c>
      <c r="B8" s="6">
        <v>5000</v>
      </c>
      <c r="C8" s="6">
        <v>2716.68</v>
      </c>
      <c r="D8" s="5">
        <v>5000</v>
      </c>
    </row>
    <row r="9" spans="1:4" ht="15" customHeight="1">
      <c r="A9" s="102" t="s">
        <v>105</v>
      </c>
      <c r="B9" s="6">
        <v>1395</v>
      </c>
      <c r="C9" s="6">
        <v>1395</v>
      </c>
      <c r="D9" s="5">
        <v>5000</v>
      </c>
    </row>
    <row r="10" spans="1:4" ht="15" customHeight="1">
      <c r="A10" s="102" t="s">
        <v>106</v>
      </c>
      <c r="B10" s="6">
        <f>2500+600+1250+500+700+1500</f>
        <v>7050</v>
      </c>
      <c r="C10" s="6">
        <v>7600</v>
      </c>
      <c r="D10" s="5">
        <v>10000</v>
      </c>
    </row>
    <row r="11" spans="1:4" ht="15" customHeight="1">
      <c r="A11" s="102" t="s">
        <v>107</v>
      </c>
      <c r="B11" s="5">
        <f>1000+150+1000+2500</f>
        <v>4650</v>
      </c>
      <c r="D11" s="5">
        <v>4600</v>
      </c>
    </row>
    <row r="12" spans="1:4" ht="15" customHeight="1">
      <c r="A12" s="102" t="s">
        <v>207</v>
      </c>
      <c r="B12" s="5"/>
    </row>
    <row r="13" spans="1:4" ht="15" customHeight="1" thickBot="1">
      <c r="A13" s="102" t="s">
        <v>128</v>
      </c>
      <c r="B13" s="5"/>
    </row>
    <row r="14" spans="1:4" ht="15" customHeight="1">
      <c r="A14" s="93" t="s">
        <v>81</v>
      </c>
      <c r="B14" s="8">
        <f>SUM(B5:B11)</f>
        <v>98092</v>
      </c>
      <c r="C14" s="24">
        <f>SUM(C5:C11)</f>
        <v>86872.909999999989</v>
      </c>
      <c r="D14" s="20">
        <f>SUM(D5:D11)</f>
        <v>105528.86324000001</v>
      </c>
    </row>
    <row r="15" spans="1:4" ht="19.5" customHeight="1">
      <c r="B15" s="6"/>
      <c r="C15" s="6"/>
    </row>
    <row r="16" spans="1:4" ht="15" customHeight="1" thickBot="1">
      <c r="B16" s="6"/>
      <c r="C16" s="14"/>
    </row>
    <row r="17" spans="1:4" ht="15" customHeight="1" thickBot="1">
      <c r="A17" s="3" t="s">
        <v>10</v>
      </c>
      <c r="B17" s="35" t="s">
        <v>14</v>
      </c>
      <c r="C17" s="35" t="s">
        <v>2</v>
      </c>
      <c r="D17" s="35" t="s">
        <v>3</v>
      </c>
    </row>
    <row r="18" spans="1:4" ht="15" customHeight="1">
      <c r="A18" s="101" t="s">
        <v>143</v>
      </c>
      <c r="B18" s="6">
        <v>8500</v>
      </c>
      <c r="C18" s="6">
        <v>8092.9</v>
      </c>
      <c r="D18" s="5">
        <v>25000</v>
      </c>
    </row>
    <row r="19" spans="1:4" ht="15" customHeight="1">
      <c r="A19" s="101" t="s">
        <v>108</v>
      </c>
      <c r="B19" s="6">
        <v>24000</v>
      </c>
      <c r="C19" s="6">
        <v>24688</v>
      </c>
      <c r="D19" s="5">
        <v>30000</v>
      </c>
    </row>
    <row r="20" spans="1:4" ht="15" customHeight="1">
      <c r="A20" s="101" t="s">
        <v>109</v>
      </c>
      <c r="B20" s="6">
        <v>3500</v>
      </c>
      <c r="C20" s="6">
        <v>2870.34</v>
      </c>
      <c r="D20" s="5">
        <v>2800</v>
      </c>
    </row>
    <row r="21" spans="1:4" ht="15" customHeight="1">
      <c r="A21" s="101" t="s">
        <v>110</v>
      </c>
      <c r="B21" s="6">
        <v>4685</v>
      </c>
      <c r="C21" s="6">
        <v>4685</v>
      </c>
      <c r="D21" s="5">
        <v>0</v>
      </c>
    </row>
    <row r="22" spans="1:4" ht="15" customHeight="1">
      <c r="A22" s="101" t="s">
        <v>111</v>
      </c>
      <c r="B22" s="6">
        <v>2600</v>
      </c>
      <c r="C22" s="6">
        <v>232.05</v>
      </c>
      <c r="D22" s="5">
        <v>2700</v>
      </c>
    </row>
    <row r="23" spans="1:4" ht="15" customHeight="1">
      <c r="A23" s="101" t="s">
        <v>112</v>
      </c>
      <c r="B23" s="6">
        <v>1500</v>
      </c>
      <c r="C23" s="26">
        <v>0</v>
      </c>
      <c r="D23" s="5">
        <v>1500</v>
      </c>
    </row>
    <row r="24" spans="1:4" ht="15" customHeight="1">
      <c r="A24" s="101" t="s">
        <v>113</v>
      </c>
      <c r="B24" s="6">
        <v>2200</v>
      </c>
      <c r="C24" s="6">
        <v>5911.31</v>
      </c>
      <c r="D24" s="5">
        <v>2500</v>
      </c>
    </row>
    <row r="25" spans="1:4" ht="15" customHeight="1">
      <c r="A25" s="101" t="s">
        <v>114</v>
      </c>
      <c r="B25" s="6">
        <v>1600</v>
      </c>
      <c r="C25" s="6">
        <v>1650</v>
      </c>
      <c r="D25" s="5">
        <v>1700</v>
      </c>
    </row>
    <row r="26" spans="1:4" ht="15" customHeight="1">
      <c r="A26" s="101" t="s">
        <v>115</v>
      </c>
      <c r="B26" s="6">
        <v>1720</v>
      </c>
      <c r="C26" s="6">
        <v>1920</v>
      </c>
      <c r="D26" s="5">
        <v>1200</v>
      </c>
    </row>
    <row r="27" spans="1:4" ht="15" customHeight="1">
      <c r="A27" s="101" t="s">
        <v>116</v>
      </c>
      <c r="B27" s="6">
        <v>250</v>
      </c>
      <c r="C27" s="6">
        <v>250</v>
      </c>
      <c r="D27" s="5">
        <v>250</v>
      </c>
    </row>
    <row r="28" spans="1:4" ht="15" customHeight="1">
      <c r="A28" s="101" t="s">
        <v>117</v>
      </c>
      <c r="B28" s="6">
        <f>150+150+100+175+300</f>
        <v>875</v>
      </c>
      <c r="C28" s="6">
        <v>600</v>
      </c>
    </row>
    <row r="29" spans="1:4" ht="15" customHeight="1">
      <c r="A29" s="101" t="s">
        <v>118</v>
      </c>
      <c r="B29" s="6">
        <v>750</v>
      </c>
      <c r="C29" s="6">
        <v>499.8</v>
      </c>
      <c r="D29" s="5">
        <v>3000</v>
      </c>
    </row>
    <row r="30" spans="1:4" ht="15" customHeight="1">
      <c r="A30" s="101" t="s">
        <v>119</v>
      </c>
      <c r="B30" s="6">
        <v>150</v>
      </c>
      <c r="C30" s="6">
        <v>150</v>
      </c>
      <c r="D30" s="5">
        <v>0</v>
      </c>
    </row>
    <row r="31" spans="1:4" ht="15" customHeight="1">
      <c r="A31" s="101" t="s">
        <v>120</v>
      </c>
      <c r="B31" s="6">
        <v>1600</v>
      </c>
      <c r="C31" s="6"/>
      <c r="D31" s="5">
        <v>1200</v>
      </c>
    </row>
    <row r="32" spans="1:4" ht="15" customHeight="1">
      <c r="A32" s="101" t="s">
        <v>121</v>
      </c>
      <c r="B32" s="6">
        <v>1200</v>
      </c>
      <c r="C32" s="6"/>
      <c r="D32" s="5">
        <v>800</v>
      </c>
    </row>
    <row r="33" spans="1:4" ht="15" customHeight="1">
      <c r="A33" s="101" t="s">
        <v>122</v>
      </c>
      <c r="B33" s="6">
        <v>1450</v>
      </c>
      <c r="C33">
        <v>1450</v>
      </c>
      <c r="D33" s="5">
        <v>1500</v>
      </c>
    </row>
    <row r="34" spans="1:4" ht="15" customHeight="1">
      <c r="A34" s="101" t="s">
        <v>123</v>
      </c>
      <c r="B34" s="6">
        <v>2000</v>
      </c>
      <c r="C34" s="6">
        <v>2000</v>
      </c>
      <c r="D34" s="5">
        <v>2200</v>
      </c>
    </row>
    <row r="35" spans="1:4" ht="15" customHeight="1">
      <c r="A35" s="101" t="s">
        <v>124</v>
      </c>
      <c r="B35" s="6">
        <v>1500</v>
      </c>
      <c r="C35" s="6">
        <v>1500</v>
      </c>
      <c r="D35" s="5">
        <v>1600</v>
      </c>
    </row>
    <row r="36" spans="1:4" ht="15" customHeight="1">
      <c r="A36" s="101" t="s">
        <v>125</v>
      </c>
      <c r="B36" s="6">
        <v>3300</v>
      </c>
      <c r="C36" s="6">
        <v>3300</v>
      </c>
      <c r="D36" s="5">
        <v>0</v>
      </c>
    </row>
    <row r="37" spans="1:4" ht="15" customHeight="1">
      <c r="A37" s="101" t="s">
        <v>126</v>
      </c>
      <c r="B37" s="6">
        <v>2000</v>
      </c>
      <c r="C37" s="6">
        <v>683.01</v>
      </c>
      <c r="D37" s="5">
        <v>1500</v>
      </c>
    </row>
    <row r="38" spans="1:4" ht="15" customHeight="1">
      <c r="A38" s="101" t="s">
        <v>127</v>
      </c>
      <c r="B38" s="6">
        <v>2000</v>
      </c>
      <c r="C38" s="6">
        <v>3330.25</v>
      </c>
      <c r="D38" s="5">
        <v>2000</v>
      </c>
    </row>
    <row r="39" spans="1:4" ht="15" customHeight="1">
      <c r="A39" s="101" t="s">
        <v>128</v>
      </c>
      <c r="B39" s="6">
        <v>1800</v>
      </c>
      <c r="C39" s="6">
        <v>579.53</v>
      </c>
      <c r="D39" s="5">
        <v>500</v>
      </c>
    </row>
    <row r="40" spans="1:4" ht="15" customHeight="1">
      <c r="A40" s="101" t="s">
        <v>205</v>
      </c>
      <c r="B40" s="6">
        <f>8.5*650+575</f>
        <v>6100</v>
      </c>
      <c r="C40" s="6">
        <v>6268.5</v>
      </c>
      <c r="D40" s="5">
        <v>4850</v>
      </c>
    </row>
    <row r="41" spans="1:4" ht="15" customHeight="1">
      <c r="A41" s="101" t="s">
        <v>206</v>
      </c>
      <c r="B41" s="6">
        <v>1450</v>
      </c>
      <c r="C41" s="6">
        <v>1265.25</v>
      </c>
      <c r="D41" s="5">
        <v>2000</v>
      </c>
    </row>
    <row r="42" spans="1:4" ht="15" customHeight="1">
      <c r="A42" s="101" t="s">
        <v>129</v>
      </c>
      <c r="B42" s="6">
        <v>5000</v>
      </c>
      <c r="C42" s="6">
        <v>0</v>
      </c>
    </row>
    <row r="43" spans="1:4" ht="15" customHeight="1">
      <c r="A43" s="101" t="s">
        <v>130</v>
      </c>
      <c r="B43" s="6">
        <v>1000</v>
      </c>
      <c r="C43" s="6">
        <v>0</v>
      </c>
    </row>
    <row r="44" spans="1:4" ht="15" customHeight="1">
      <c r="A44" s="101" t="s">
        <v>131</v>
      </c>
      <c r="B44" s="6">
        <v>550</v>
      </c>
      <c r="C44" s="6">
        <v>550</v>
      </c>
      <c r="D44" s="5">
        <v>600</v>
      </c>
    </row>
    <row r="45" spans="1:4" ht="15" customHeight="1">
      <c r="A45" s="101" t="s">
        <v>132</v>
      </c>
      <c r="B45" s="6">
        <v>3800</v>
      </c>
      <c r="C45" s="6">
        <v>1371.3</v>
      </c>
      <c r="D45" s="5">
        <v>1000</v>
      </c>
    </row>
    <row r="46" spans="1:4" ht="15" customHeight="1">
      <c r="A46" s="101" t="s">
        <v>133</v>
      </c>
      <c r="B46" s="6">
        <v>100</v>
      </c>
      <c r="C46" s="6">
        <v>100</v>
      </c>
      <c r="D46" s="5">
        <v>100</v>
      </c>
    </row>
    <row r="47" spans="1:4" ht="15" customHeight="1">
      <c r="A47" s="101" t="s">
        <v>134</v>
      </c>
      <c r="B47" s="6">
        <v>13355.26</v>
      </c>
      <c r="C47" s="6">
        <v>13380.26</v>
      </c>
      <c r="D47" s="5">
        <v>14000</v>
      </c>
    </row>
    <row r="48" spans="1:4" ht="15" customHeight="1">
      <c r="A48" s="101" t="s">
        <v>135</v>
      </c>
      <c r="B48" s="6">
        <v>200</v>
      </c>
      <c r="C48" s="6">
        <v>200</v>
      </c>
      <c r="D48" s="5">
        <v>0</v>
      </c>
    </row>
    <row r="49" spans="1:4" ht="15" customHeight="1">
      <c r="A49" s="101" t="s">
        <v>136</v>
      </c>
      <c r="B49" s="6">
        <f>180+1000</f>
        <v>1180</v>
      </c>
      <c r="C49" s="14"/>
      <c r="D49" s="5">
        <v>1000</v>
      </c>
    </row>
    <row r="50" spans="1:4" ht="15" customHeight="1" thickBot="1">
      <c r="A50" s="101" t="s">
        <v>204</v>
      </c>
      <c r="B50" s="47"/>
      <c r="C50" s="86"/>
      <c r="D50" s="81">
        <v>3000</v>
      </c>
    </row>
    <row r="51" spans="1:4" ht="15" customHeight="1">
      <c r="A51" s="93" t="s">
        <v>11</v>
      </c>
      <c r="B51" s="8">
        <f>SUM(B18:B49)</f>
        <v>101915.26</v>
      </c>
      <c r="C51" s="24">
        <f>SUM(C18:C49)</f>
        <v>87527.5</v>
      </c>
      <c r="D51" s="20">
        <f>SUM(D18:D50)</f>
        <v>108500</v>
      </c>
    </row>
    <row r="52" spans="1:4" ht="15" customHeight="1">
      <c r="A52" s="88"/>
      <c r="C52" s="6"/>
    </row>
    <row r="53" spans="1:4" ht="15" customHeight="1" thickBot="1">
      <c r="A53" s="93" t="s">
        <v>12</v>
      </c>
      <c r="B53" s="13">
        <f>B14-B51</f>
        <v>-3823.2599999999948</v>
      </c>
      <c r="C53" s="15">
        <f>C14-C51</f>
        <v>-654.59000000001106</v>
      </c>
      <c r="D53" s="13">
        <f>D14-D51</f>
        <v>-2971.136759999994</v>
      </c>
    </row>
    <row r="54" spans="1:4" ht="15" customHeight="1" thickTop="1"/>
    <row r="55" spans="1:4" ht="15" customHeight="1"/>
    <row r="56" spans="1:4" ht="15" customHeight="1"/>
    <row r="57" spans="1:4" ht="15" customHeight="1"/>
    <row r="58" spans="1:4" ht="15" customHeight="1"/>
    <row r="59" spans="1:4" ht="15" customHeight="1"/>
    <row r="60" spans="1:4" ht="17.25" customHeight="1">
      <c r="D60" s="6"/>
    </row>
    <row r="61" spans="1:4" ht="17.25" customHeight="1">
      <c r="D61" s="6"/>
    </row>
    <row r="62" spans="1:4" ht="17.25" customHeight="1">
      <c r="D62" s="6"/>
    </row>
    <row r="63" spans="1:4" ht="17.25" customHeight="1">
      <c r="D63" s="20"/>
    </row>
  </sheetData>
  <mergeCells count="4">
    <mergeCell ref="A1:D1"/>
    <mergeCell ref="B3:B4"/>
    <mergeCell ref="C3:C4"/>
    <mergeCell ref="D3:D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79a3b8a-9035-4085-8be0-9f3f85126548" xsi:nil="true"/>
    <lcf76f155ced4ddcb4097134ff3c332f xmlns="f12e54ec-8e42-457e-a21a-b715fa4413f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58323473429B4BAE8F2C63F4C6D759" ma:contentTypeVersion="19" ma:contentTypeDescription="Create a new document." ma:contentTypeScope="" ma:versionID="62d0ebcdb2fa4260943871ca2191510a">
  <xsd:schema xmlns:xsd="http://www.w3.org/2001/XMLSchema" xmlns:xs="http://www.w3.org/2001/XMLSchema" xmlns:p="http://schemas.microsoft.com/office/2006/metadata/properties" xmlns:ns2="f12e54ec-8e42-457e-a21a-b715fa4413fc" xmlns:ns3="d79a3b8a-9035-4085-8be0-9f3f85126548" targetNamespace="http://schemas.microsoft.com/office/2006/metadata/properties" ma:root="true" ma:fieldsID="aa4cf407f8d8963d86a880d858f3f6ed" ns2:_="" ns3:_="">
    <xsd:import namespace="f12e54ec-8e42-457e-a21a-b715fa4413fc"/>
    <xsd:import namespace="d79a3b8a-9035-4085-8be0-9f3f851265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2e54ec-8e42-457e-a21a-b715fa4413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9e79c6a-49e2-423f-a430-0648df4a03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9a3b8a-9035-4085-8be0-9f3f8512654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5a101db-45e2-4d31-ac92-75481bd1a827}" ma:internalName="TaxCatchAll" ma:showField="CatchAllData" ma:web="d79a3b8a-9035-4085-8be0-9f3f851265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260BAD-11E1-4B91-82B0-25CEB267D8E0}">
  <ds:schemaRefs>
    <ds:schemaRef ds:uri="f12e54ec-8e42-457e-a21a-b715fa4413fc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d79a3b8a-9035-4085-8be0-9f3f85126548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B381325-19F4-43AC-810D-5C06853E29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B66CCB-F7B8-4A35-8E77-4E9E25AAF7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2e54ec-8e42-457e-a21a-b715fa4413fc"/>
    <ds:schemaRef ds:uri="d79a3b8a-9035-4085-8be0-9f3f851265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Overall Budget</vt:lpstr>
      <vt:lpstr>Overall Summary</vt:lpstr>
      <vt:lpstr>Operations and Services</vt:lpstr>
      <vt:lpstr>Gait</vt:lpstr>
      <vt:lpstr>Student Success Centre</vt:lpstr>
      <vt:lpstr>SafeDrive</vt:lpstr>
      <vt:lpstr>Activities and Events</vt:lpstr>
      <vt:lpstr>Comms </vt:lpstr>
      <vt:lpstr>Orientation Week</vt:lpstr>
      <vt:lpstr>HallowFest</vt:lpstr>
      <vt:lpstr>Winterfest</vt:lpstr>
      <vt:lpstr>Winter O-Week</vt:lpstr>
      <vt:lpstr>Grad Formal</vt:lpstr>
    </vt:vector>
  </TitlesOfParts>
  <Manager/>
  <Company>Bishops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SRC Director of Finance</dc:creator>
  <cp:keywords/>
  <dc:description/>
  <cp:lastModifiedBy>SRC Executive Director</cp:lastModifiedBy>
  <cp:revision/>
  <dcterms:created xsi:type="dcterms:W3CDTF">2024-05-02T12:48:04Z</dcterms:created>
  <dcterms:modified xsi:type="dcterms:W3CDTF">2026-06-17T15:02:18Z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0x0101000A58323473429B4BAE8F2C63F4C6D759</vt:lpwstr>
  </property>
  <property fmtid="{D5CDD505-2E9C-101B-9397-08002B2CF9AE}" pid="3" name="MediaServiceImageTags">
    <vt:lpwstr/>
  </property>
</Properties>
</file>