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cdfo\OneDrive - University Bishops\SRC\Manager Folders\Director of Finance\2024-2025\Financials\Financials\"/>
    </mc:Choice>
  </mc:AlternateContent>
  <xr:revisionPtr revIDLastSave="0" documentId="8_{E7676309-5EAC-479E-80FA-C930F43E0F3F}" xr6:coauthVersionLast="47" xr6:coauthVersionMax="47" xr10:uidLastSave="{00000000-0000-0000-0000-000000000000}"/>
  <bookViews>
    <workbookView xWindow="0" yWindow="0" windowWidth="16170" windowHeight="7380" xr2:uid="{0E951F86-3C4B-41E7-8278-E29134979689}"/>
  </bookViews>
  <sheets>
    <sheet name="Overall Budget" sheetId="1" r:id="rId1"/>
    <sheet name="Overall Summary" sheetId="2" r:id="rId2"/>
    <sheet name="Operations and Services" sheetId="11" r:id="rId3"/>
    <sheet name="Gait" sheetId="3" r:id="rId4"/>
    <sheet name="Student Success Centre" sheetId="13" r:id="rId5"/>
    <sheet name="SafeDrive" sheetId="12" r:id="rId6"/>
    <sheet name="Comms " sheetId="10" r:id="rId7"/>
    <sheet name="Activities and Events" sheetId="4" r:id="rId8"/>
    <sheet name="Orientation Week" sheetId="5" r:id="rId9"/>
    <sheet name="HallowFest" sheetId="8" r:id="rId10"/>
    <sheet name="Winterfest" sheetId="6" r:id="rId11"/>
    <sheet name="Winter O-Week" sheetId="7" r:id="rId12"/>
    <sheet name="Grad Formal" sheetId="9" r:id="rId13"/>
    <sheet name="Minor Events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20" i="3"/>
  <c r="C5" i="14"/>
  <c r="C11" i="14"/>
  <c r="C17" i="9"/>
  <c r="B16" i="7"/>
  <c r="B6" i="7"/>
  <c r="B30" i="6"/>
  <c r="B8" i="6"/>
  <c r="C30" i="6"/>
  <c r="B21" i="8"/>
  <c r="B6" i="8"/>
  <c r="C6" i="8"/>
  <c r="C21" i="8"/>
  <c r="B13" i="5"/>
  <c r="B55" i="5"/>
  <c r="B19" i="10"/>
  <c r="B9" i="10"/>
  <c r="B8" i="3"/>
  <c r="C8" i="3"/>
  <c r="B62" i="2"/>
  <c r="B20" i="2"/>
  <c r="B21" i="2" s="1"/>
  <c r="C14" i="10" l="1"/>
  <c r="C10" i="3"/>
  <c r="C18" i="3"/>
  <c r="C19" i="3"/>
  <c r="C6" i="5"/>
  <c r="C7" i="10" l="1"/>
  <c r="C9" i="10" s="1"/>
  <c r="C10" i="5" l="1"/>
  <c r="C33" i="2" l="1"/>
  <c r="C54" i="5" l="1"/>
  <c r="C5" i="2" l="1"/>
  <c r="C11" i="5"/>
  <c r="C47" i="2" l="1"/>
  <c r="B14" i="12"/>
  <c r="B15" i="12" s="1"/>
  <c r="B5" i="12" l="1"/>
  <c r="B9" i="12" s="1"/>
  <c r="C5" i="9" l="1"/>
  <c r="C7" i="9" s="1"/>
  <c r="C19" i="2"/>
  <c r="B9" i="13"/>
  <c r="B10" i="13" s="1"/>
  <c r="C28" i="2"/>
  <c r="C8" i="1" l="1"/>
  <c r="C16" i="1"/>
  <c r="C15" i="10" l="1"/>
  <c r="B21" i="10"/>
  <c r="C28" i="5"/>
  <c r="D8" i="1" l="1"/>
  <c r="C11" i="7"/>
  <c r="C16" i="7" s="1"/>
  <c r="C5" i="7"/>
  <c r="C6" i="7" s="1"/>
  <c r="C5" i="6"/>
  <c r="C8" i="6" s="1"/>
  <c r="C18" i="10" l="1"/>
  <c r="C17" i="10"/>
  <c r="C19" i="10" l="1"/>
  <c r="C21" i="10" s="1"/>
  <c r="C61" i="2"/>
  <c r="C20" i="4" l="1"/>
  <c r="C10" i="4"/>
  <c r="C5" i="5" l="1"/>
  <c r="C13" i="5" s="1"/>
  <c r="C44" i="5" l="1"/>
  <c r="C55" i="5" s="1"/>
  <c r="B13" i="11" l="1"/>
  <c r="B12" i="13"/>
  <c r="C15" i="2"/>
  <c r="C32" i="2" s="1"/>
  <c r="B14" i="11"/>
  <c r="B17" i="12" l="1"/>
  <c r="C6" i="2"/>
  <c r="C21" i="2" s="1"/>
  <c r="B7" i="11" l="1"/>
  <c r="C16" i="4"/>
  <c r="C6" i="4" l="1"/>
  <c r="C23" i="8"/>
  <c r="B18" i="3"/>
  <c r="B21" i="3" s="1"/>
  <c r="C15" i="1"/>
  <c r="B5" i="9"/>
  <c r="B7" i="9" s="1"/>
  <c r="B13" i="9"/>
  <c r="B6" i="4"/>
  <c r="B16" i="4"/>
  <c r="B17" i="9" l="1"/>
  <c r="B19" i="4" s="1"/>
  <c r="B19" i="9"/>
  <c r="B9" i="4"/>
  <c r="B23" i="8"/>
  <c r="C14" i="1" l="1"/>
  <c r="C18" i="4" l="1"/>
  <c r="C8" i="4"/>
  <c r="C19" i="4"/>
  <c r="C9" i="4"/>
  <c r="C18" i="7" l="1"/>
  <c r="C19" i="9"/>
  <c r="B15" i="4"/>
  <c r="C17" i="4"/>
  <c r="B17" i="4"/>
  <c r="C7" i="4" l="1"/>
  <c r="C32" i="6" l="1"/>
  <c r="B12" i="11" l="1"/>
  <c r="B15" i="11" l="1"/>
  <c r="D15" i="1" s="1"/>
  <c r="C15" i="4"/>
  <c r="C21" i="4" s="1"/>
  <c r="D17" i="1" l="1"/>
  <c r="B18" i="4"/>
  <c r="B21" i="4" s="1"/>
  <c r="B8" i="4"/>
  <c r="B7" i="4"/>
  <c r="C17" i="1" l="1"/>
  <c r="C18" i="1" s="1"/>
  <c r="B18" i="7"/>
  <c r="B32" i="6"/>
  <c r="B5" i="11"/>
  <c r="B8" i="11" l="1"/>
  <c r="D7" i="1" s="1"/>
  <c r="B17" i="11"/>
  <c r="C7" i="1"/>
  <c r="B23" i="3"/>
  <c r="C23" i="3"/>
  <c r="C6" i="1"/>
  <c r="C34" i="2"/>
  <c r="C62" i="2" s="1"/>
  <c r="B64" i="2" l="1"/>
  <c r="D6" i="1" l="1"/>
  <c r="D14" i="1"/>
  <c r="C58" i="5"/>
  <c r="C5" i="4"/>
  <c r="C11" i="4" s="1"/>
  <c r="C64" i="2" l="1"/>
  <c r="B58" i="5"/>
  <c r="B5" i="4"/>
  <c r="B11" i="4" s="1"/>
  <c r="C23" i="4" l="1"/>
  <c r="D9" i="1"/>
  <c r="D10" i="1" s="1"/>
  <c r="B23" i="4" l="1"/>
  <c r="C9" i="1"/>
  <c r="C10" i="1" s="1"/>
  <c r="C20" i="1" s="1"/>
  <c r="C24" i="1" s="1"/>
  <c r="D23" i="1" s="1"/>
  <c r="C13" i="14"/>
  <c r="D16" i="1" l="1"/>
  <c r="D18" i="1" s="1"/>
  <c r="D20" i="1" s="1"/>
  <c r="D24" i="1" s="1"/>
</calcChain>
</file>

<file path=xl/sharedStrings.xml><?xml version="1.0" encoding="utf-8"?>
<sst xmlns="http://schemas.openxmlformats.org/spreadsheetml/2006/main" count="352" uniqueCount="215">
  <si>
    <t>Bishops University Students' Representative Council Budget Summary 2024-2025</t>
  </si>
  <si>
    <t>Budget 2023-2024</t>
  </si>
  <si>
    <t>Budget 2024-2025</t>
  </si>
  <si>
    <t>Revenues</t>
  </si>
  <si>
    <t>Student Fees/General Operating</t>
  </si>
  <si>
    <t>Operations and Services</t>
  </si>
  <si>
    <t>Comms</t>
  </si>
  <si>
    <t>Activities and Events</t>
  </si>
  <si>
    <t>Total Revenues</t>
  </si>
  <si>
    <t>Expenses</t>
  </si>
  <si>
    <t>Total Expenses</t>
  </si>
  <si>
    <t>Net Income</t>
  </si>
  <si>
    <t>Deficiency of Revenues Over Expenses</t>
  </si>
  <si>
    <t>2023-2024</t>
  </si>
  <si>
    <t>2024-2025</t>
  </si>
  <si>
    <t>Net Assets, Beginning of Year</t>
  </si>
  <si>
    <t>Net Assets, End of Year</t>
  </si>
  <si>
    <t xml:space="preserve"> </t>
  </si>
  <si>
    <t>Bishop's University Students' Representative Council Budget 2024-2025 Overall Summary</t>
  </si>
  <si>
    <t>Student Fees</t>
  </si>
  <si>
    <t>Student Saftey Fee</t>
  </si>
  <si>
    <t>Health and Dental Plan Fees</t>
  </si>
  <si>
    <t>Fun Fund</t>
  </si>
  <si>
    <t>Doolittles Royalty</t>
  </si>
  <si>
    <t>Rentals and Services Rendered</t>
  </si>
  <si>
    <t>SDAG Grant Revenue</t>
  </si>
  <si>
    <t>Miscellaneous Revenue</t>
  </si>
  <si>
    <t>The Mitre Revenue</t>
  </si>
  <si>
    <t>Sponsorships</t>
  </si>
  <si>
    <t>QSU</t>
  </si>
  <si>
    <t>Clothing Sales</t>
  </si>
  <si>
    <t>GIC Income</t>
  </si>
  <si>
    <t>Co-Op</t>
  </si>
  <si>
    <t>SPC Card</t>
  </si>
  <si>
    <t>VPSA Assistance</t>
  </si>
  <si>
    <t xml:space="preserve">Health and Dental Insurance Premiums </t>
  </si>
  <si>
    <t>Salaries and Payroll Expenses</t>
  </si>
  <si>
    <t>Academic Affairs/Conferences</t>
  </si>
  <si>
    <t>Wine and Cheese</t>
  </si>
  <si>
    <t>SRC Merchandise</t>
  </si>
  <si>
    <t>Student Success Week</t>
  </si>
  <si>
    <t>SRC Service Awards</t>
  </si>
  <si>
    <t>Menstrual Equity</t>
  </si>
  <si>
    <t>Additional Projects (Safety)</t>
  </si>
  <si>
    <t>Club Expenses</t>
  </si>
  <si>
    <t xml:space="preserve">Insurance </t>
  </si>
  <si>
    <t>Meals and Travel</t>
  </si>
  <si>
    <t>Professional Fees</t>
  </si>
  <si>
    <t>Restructuring</t>
  </si>
  <si>
    <t>Safe Drive Project</t>
  </si>
  <si>
    <t>Donations</t>
  </si>
  <si>
    <t>Interest and Bank Charges</t>
  </si>
  <si>
    <t>Sqaure and Stripe Charges</t>
  </si>
  <si>
    <t>Office Supplies and Expenses</t>
  </si>
  <si>
    <t>Elections</t>
  </si>
  <si>
    <t>The Mitre</t>
  </si>
  <si>
    <t xml:space="preserve">Professional Development </t>
  </si>
  <si>
    <t>Miscellaneous Expense</t>
  </si>
  <si>
    <t>Website</t>
  </si>
  <si>
    <t>Awards</t>
  </si>
  <si>
    <t>Maintenance and Repairs</t>
  </si>
  <si>
    <t>Clothing COGS</t>
  </si>
  <si>
    <t>Amortization of Tangible Assets</t>
  </si>
  <si>
    <t>Toast Radio</t>
  </si>
  <si>
    <t>Advertising and Marketing</t>
  </si>
  <si>
    <t>Subscriptions</t>
  </si>
  <si>
    <t>Student Life</t>
  </si>
  <si>
    <t>Third-Spaces</t>
  </si>
  <si>
    <t>Presidential Discretionary</t>
  </si>
  <si>
    <t>Drink Covers</t>
  </si>
  <si>
    <t>Operations and Services Breakdown 2024-2025</t>
  </si>
  <si>
    <t>Gait</t>
  </si>
  <si>
    <t>SSC</t>
  </si>
  <si>
    <t>SafeDrive</t>
  </si>
  <si>
    <t>Bishops University Students' Representative Council Gait Breakdown</t>
  </si>
  <si>
    <t>Gait Sales</t>
  </si>
  <si>
    <t>Security Services Rendered</t>
  </si>
  <si>
    <t>Membership/Guest Fee</t>
  </si>
  <si>
    <t>Gait Wages</t>
  </si>
  <si>
    <t>Cost of Goods Sold</t>
  </si>
  <si>
    <t>Security</t>
  </si>
  <si>
    <t>DJ's and Bands/Entertainment</t>
  </si>
  <si>
    <t>Permits and Licensing</t>
  </si>
  <si>
    <t>Equipment, Supplies, and Glassware</t>
  </si>
  <si>
    <t>Gait Renovations</t>
  </si>
  <si>
    <t>Paint</t>
  </si>
  <si>
    <t>Other Expenses</t>
  </si>
  <si>
    <t>Amortization of Tangible Capital Assets</t>
  </si>
  <si>
    <t xml:space="preserve">Net Income </t>
  </si>
  <si>
    <t>Student Success Centre Budget  2024-2025</t>
  </si>
  <si>
    <t>Food</t>
  </si>
  <si>
    <t>Merch</t>
  </si>
  <si>
    <t>Salaries</t>
  </si>
  <si>
    <t>Safedrive Breakdown 2024-2025</t>
  </si>
  <si>
    <t>Student Safety Fee Portion</t>
  </si>
  <si>
    <t>QSU Fund</t>
  </si>
  <si>
    <t>Total Revenue</t>
  </si>
  <si>
    <t>Insurance</t>
  </si>
  <si>
    <t>Payroll</t>
  </si>
  <si>
    <t>Car Reservation Fee</t>
  </si>
  <si>
    <t>Comms Budget  2024-2025</t>
  </si>
  <si>
    <t>Handbook/Agenda Revenue</t>
  </si>
  <si>
    <t>Yearbook Fees</t>
  </si>
  <si>
    <t>Yearbook Revenue</t>
  </si>
  <si>
    <t>Yearbook Expenses</t>
  </si>
  <si>
    <t>Handbook/Agenda Expenses</t>
  </si>
  <si>
    <t>One Time Usage</t>
  </si>
  <si>
    <t>Year After Year</t>
  </si>
  <si>
    <t>Bishops University Students' Representative Council Activities and Events</t>
  </si>
  <si>
    <t xml:space="preserve"> 2023-2024</t>
  </si>
  <si>
    <t xml:space="preserve"> 2024-2025</t>
  </si>
  <si>
    <t>Orientation Week</t>
  </si>
  <si>
    <t>FallFest</t>
  </si>
  <si>
    <t>Winterfest</t>
  </si>
  <si>
    <t>Winter Orientation Week</t>
  </si>
  <si>
    <t>Grad Formal</t>
  </si>
  <si>
    <t>Minor Events</t>
  </si>
  <si>
    <t>Budget 2022-2023</t>
  </si>
  <si>
    <t>Bishops University Students' Representative Council  Schedule of Activities and Events</t>
  </si>
  <si>
    <t>2021-2022</t>
  </si>
  <si>
    <t>2022-2023</t>
  </si>
  <si>
    <t>Mandatory O-Week Fees</t>
  </si>
  <si>
    <t>Exchange Students</t>
  </si>
  <si>
    <t>SDAG Contribution</t>
  </si>
  <si>
    <t>Beer Sales</t>
  </si>
  <si>
    <t>Concert Ticket Sales</t>
  </si>
  <si>
    <t>Sponsorship Cash</t>
  </si>
  <si>
    <t>Sponsorship Items</t>
  </si>
  <si>
    <t>Charity Events</t>
  </si>
  <si>
    <t xml:space="preserve">Band </t>
  </si>
  <si>
    <t>Audiobec &amp; Technician</t>
  </si>
  <si>
    <t>Security/Student Safety</t>
  </si>
  <si>
    <t>Tent</t>
  </si>
  <si>
    <t>Beer Costs</t>
  </si>
  <si>
    <t>Band Rider and Accommodation</t>
  </si>
  <si>
    <t>Work Orders</t>
  </si>
  <si>
    <t>Porta Potties</t>
  </si>
  <si>
    <t>Fences</t>
  </si>
  <si>
    <t>Alcohol Permit</t>
  </si>
  <si>
    <t>Water Stations</t>
  </si>
  <si>
    <t xml:space="preserve"> DJ</t>
  </si>
  <si>
    <t>Bartenders</t>
  </si>
  <si>
    <t>Pizza</t>
  </si>
  <si>
    <t>Ice Cream</t>
  </si>
  <si>
    <t>Key Chains</t>
  </si>
  <si>
    <t>Floor Staff</t>
  </si>
  <si>
    <t>Marshalls</t>
  </si>
  <si>
    <t>Fridge Rental</t>
  </si>
  <si>
    <t>Mechanical Bull + Dunk Tank</t>
  </si>
  <si>
    <t>Petting Zoo</t>
  </si>
  <si>
    <t>Archery Game</t>
  </si>
  <si>
    <t>Colour Run</t>
  </si>
  <si>
    <t>Hypnotist</t>
  </si>
  <si>
    <t>Supplies</t>
  </si>
  <si>
    <t>Centennial Theatre Rental</t>
  </si>
  <si>
    <t xml:space="preserve">Charity </t>
  </si>
  <si>
    <t>Frosh Packs</t>
  </si>
  <si>
    <t>Foam Swords</t>
  </si>
  <si>
    <t>Can I Kiss You Speaker</t>
  </si>
  <si>
    <t>Denver Gym</t>
  </si>
  <si>
    <t>Wristbands</t>
  </si>
  <si>
    <t>Decorations and Prizes</t>
  </si>
  <si>
    <t>Orientation Week Banner</t>
  </si>
  <si>
    <t>Target Promotions</t>
  </si>
  <si>
    <t>Logo Design</t>
  </si>
  <si>
    <t>Intro Video</t>
  </si>
  <si>
    <t>Other Misc</t>
  </si>
  <si>
    <t>Bishops University Students' Representative Council HallowFest</t>
  </si>
  <si>
    <t>HallowFest</t>
  </si>
  <si>
    <t>Drinks and Food</t>
  </si>
  <si>
    <t>Gait/Pong Tickets</t>
  </si>
  <si>
    <t>Mechanical Bull</t>
  </si>
  <si>
    <t>Video</t>
  </si>
  <si>
    <t>Contribution to Clubs</t>
  </si>
  <si>
    <t xml:space="preserve"> Decorations</t>
  </si>
  <si>
    <t>Photobooth</t>
  </si>
  <si>
    <t>Little Carnival Games</t>
  </si>
  <si>
    <t>Payroll Expenses</t>
  </si>
  <si>
    <t>Pumpkins etc.</t>
  </si>
  <si>
    <t>Artist</t>
  </si>
  <si>
    <t>Prizes</t>
  </si>
  <si>
    <t>Tickets</t>
  </si>
  <si>
    <t>Drinks</t>
  </si>
  <si>
    <t>Sponsors</t>
  </si>
  <si>
    <t>Rail</t>
  </si>
  <si>
    <t>Snow Machine</t>
  </si>
  <si>
    <t>Audio</t>
  </si>
  <si>
    <t xml:space="preserve">Artist </t>
  </si>
  <si>
    <t>Rider</t>
  </si>
  <si>
    <t>Helpers</t>
  </si>
  <si>
    <t>Snow Removal</t>
  </si>
  <si>
    <t>Drinks Cost of Goods Sold</t>
  </si>
  <si>
    <t>Other</t>
  </si>
  <si>
    <t>Diesel Lights</t>
  </si>
  <si>
    <t xml:space="preserve">Security </t>
  </si>
  <si>
    <t>Decorations</t>
  </si>
  <si>
    <t>Extra Events</t>
  </si>
  <si>
    <t>Winter O-Week</t>
  </si>
  <si>
    <t>Winter O-Week Fees</t>
  </si>
  <si>
    <t>Buses</t>
  </si>
  <si>
    <t>Laser Tag</t>
  </si>
  <si>
    <t>Tube Sledding</t>
  </si>
  <si>
    <t>Gait Decoration/Hangout</t>
  </si>
  <si>
    <t>Hockey Game</t>
  </si>
  <si>
    <t xml:space="preserve">Combat Archery </t>
  </si>
  <si>
    <t>Grad</t>
  </si>
  <si>
    <t>Ticket Sales</t>
  </si>
  <si>
    <t>Photos</t>
  </si>
  <si>
    <t>Delta Hall/Grenada</t>
  </si>
  <si>
    <t>DJ</t>
  </si>
  <si>
    <t xml:space="preserve">Decorations </t>
  </si>
  <si>
    <t xml:space="preserve">Photographer </t>
  </si>
  <si>
    <t>Reservation</t>
  </si>
  <si>
    <t>Spring/Summer Events</t>
  </si>
  <si>
    <t>Miscellaneous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</si>
</sst>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0000"/>
      <name val="Aptos Narrow"/>
    </font>
    <font>
      <sz val="12"/>
      <color rgb="FF000000"/>
      <name val="Aptos Narrow"/>
      <family val="2"/>
    </font>
    <font>
      <sz val="12"/>
      <color rgb="FF000000"/>
      <name val="Aptos Narrow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44444"/>
      <name val="Aptos Narrow"/>
      <charset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01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4" xfId="0" applyNumberFormat="1" applyFont="1" applyBorder="1"/>
    <xf numFmtId="0" fontId="7" fillId="0" borderId="0" xfId="0" applyFont="1" applyAlignment="1">
      <alignment horizontal="center"/>
    </xf>
    <xf numFmtId="44" fontId="3" fillId="0" borderId="5" xfId="1" applyFont="1" applyBorder="1"/>
    <xf numFmtId="44" fontId="0" fillId="0" borderId="0" xfId="1" applyFont="1" applyFill="1"/>
    <xf numFmtId="44" fontId="3" fillId="0" borderId="4" xfId="1" applyFont="1" applyBorder="1"/>
    <xf numFmtId="44" fontId="3" fillId="0" borderId="6" xfId="0" applyNumberFormat="1" applyFont="1" applyBorder="1"/>
    <xf numFmtId="44" fontId="0" fillId="0" borderId="0" xfId="1" applyFont="1" applyBorder="1"/>
    <xf numFmtId="44" fontId="3" fillId="0" borderId="6" xfId="1" applyFont="1" applyBorder="1"/>
    <xf numFmtId="0" fontId="8" fillId="0" borderId="0" xfId="0" applyFont="1"/>
    <xf numFmtId="0" fontId="9" fillId="0" borderId="0" xfId="0" applyFont="1"/>
    <xf numFmtId="44" fontId="8" fillId="0" borderId="0" xfId="1" applyFont="1" applyAlignment="1"/>
    <xf numFmtId="44" fontId="8" fillId="0" borderId="0" xfId="1" applyFont="1" applyBorder="1" applyAlignment="1"/>
    <xf numFmtId="44" fontId="8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2" applyAlignment="1">
      <alignment horizontal="center" wrapText="1"/>
    </xf>
    <xf numFmtId="44" fontId="3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0" fillId="0" borderId="0" xfId="1" applyNumberFormat="1" applyFont="1" applyAlignment="1">
      <alignment horizontal="center"/>
    </xf>
    <xf numFmtId="44" fontId="6" fillId="2" borderId="2" xfId="0" applyNumberFormat="1" applyFont="1" applyFill="1" applyBorder="1" applyAlignment="1">
      <alignment horizontal="center"/>
    </xf>
    <xf numFmtId="44" fontId="1" fillId="0" borderId="0" xfId="2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44" fontId="7" fillId="0" borderId="0" xfId="0" applyNumberFormat="1" applyFont="1" applyAlignment="1">
      <alignment horizontal="center"/>
    </xf>
    <xf numFmtId="44" fontId="3" fillId="0" borderId="0" xfId="1" applyFont="1"/>
    <xf numFmtId="44" fontId="1" fillId="0" borderId="0" xfId="1" applyFont="1"/>
    <xf numFmtId="0" fontId="0" fillId="0" borderId="0" xfId="1" applyNumberFormat="1" applyFont="1"/>
    <xf numFmtId="44" fontId="3" fillId="0" borderId="0" xfId="1" applyFont="1" applyBorder="1"/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44" fontId="1" fillId="0" borderId="0" xfId="1" applyFont="1" applyAlignment="1"/>
    <xf numFmtId="44" fontId="0" fillId="0" borderId="0" xfId="1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0" fillId="0" borderId="7" xfId="0" applyBorder="1" applyAlignment="1">
      <alignment horizontal="center"/>
    </xf>
    <xf numFmtId="44" fontId="0" fillId="0" borderId="6" xfId="0" applyNumberFormat="1" applyBorder="1"/>
    <xf numFmtId="0" fontId="7" fillId="0" borderId="6" xfId="0" applyFont="1" applyBorder="1" applyAlignment="1">
      <alignment horizontal="center"/>
    </xf>
    <xf numFmtId="44" fontId="19" fillId="0" borderId="0" xfId="0" applyNumberFormat="1" applyFont="1"/>
    <xf numFmtId="0" fontId="6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44" fontId="0" fillId="0" borderId="7" xfId="0" applyNumberFormat="1" applyBorder="1"/>
    <xf numFmtId="44" fontId="18" fillId="2" borderId="2" xfId="0" applyNumberFormat="1" applyFont="1" applyFill="1" applyBorder="1" applyAlignment="1">
      <alignment horizontal="center"/>
    </xf>
    <xf numFmtId="44" fontId="20" fillId="0" borderId="0" xfId="0" applyNumberFormat="1" applyFont="1" applyAlignment="1">
      <alignment horizontal="center"/>
    </xf>
    <xf numFmtId="44" fontId="17" fillId="2" borderId="13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44" fontId="21" fillId="0" borderId="0" xfId="0" applyNumberFormat="1" applyFont="1" applyAlignment="1">
      <alignment horizontal="center" vertical="top"/>
    </xf>
    <xf numFmtId="44" fontId="22" fillId="0" borderId="0" xfId="0" applyNumberFormat="1" applyFont="1"/>
    <xf numFmtId="44" fontId="21" fillId="0" borderId="0" xfId="0" applyNumberFormat="1" applyFont="1" applyAlignment="1">
      <alignment horizontal="center" vertical="top" wrapText="1"/>
    </xf>
    <xf numFmtId="0" fontId="16" fillId="0" borderId="0" xfId="0" applyFont="1"/>
    <xf numFmtId="0" fontId="17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44" fontId="19" fillId="0" borderId="6" xfId="0" applyNumberFormat="1" applyFont="1" applyBorder="1" applyAlignment="1">
      <alignment horizontal="center" vertical="top"/>
    </xf>
    <xf numFmtId="44" fontId="20" fillId="0" borderId="6" xfId="0" applyNumberFormat="1" applyFont="1" applyBorder="1"/>
    <xf numFmtId="44" fontId="20" fillId="0" borderId="0" xfId="0" applyNumberFormat="1" applyFont="1" applyAlignment="1">
      <alignment horizontal="center" vertical="top" wrapText="1"/>
    </xf>
    <xf numFmtId="44" fontId="0" fillId="0" borderId="7" xfId="1" applyFon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right"/>
    </xf>
    <xf numFmtId="44" fontId="0" fillId="0" borderId="14" xfId="0" applyNumberFormat="1" applyBorder="1"/>
    <xf numFmtId="0" fontId="24" fillId="0" borderId="0" xfId="0" applyFont="1"/>
    <xf numFmtId="0" fontId="0" fillId="0" borderId="0" xfId="0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/>
    </xf>
    <xf numFmtId="0" fontId="25" fillId="0" borderId="0" xfId="0" applyFont="1"/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44" fontId="25" fillId="0" borderId="0" xfId="0" applyNumberFormat="1" applyFont="1"/>
    <xf numFmtId="44" fontId="25" fillId="0" borderId="0" xfId="0" applyNumberFormat="1" applyFont="1" applyAlignment="1">
      <alignment horizontal="right"/>
    </xf>
    <xf numFmtId="0" fontId="27" fillId="0" borderId="0" xfId="0" applyFont="1" applyAlignment="1">
      <alignment horizontal="center"/>
    </xf>
    <xf numFmtId="44" fontId="28" fillId="0" borderId="0" xfId="0" applyNumberFormat="1" applyFont="1"/>
    <xf numFmtId="44" fontId="11" fillId="0" borderId="0" xfId="0" applyNumberFormat="1" applyFont="1" applyAlignment="1">
      <alignment horizont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0" applyNumberFormat="1"/>
    <xf numFmtId="0" fontId="0" fillId="0" borderId="7" xfId="0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4" fontId="5" fillId="2" borderId="1" xfId="0" applyNumberFormat="1" applyFont="1" applyFill="1" applyBorder="1" applyAlignment="1">
      <alignment horizontal="center" vertical="center"/>
    </xf>
    <xf numFmtId="44" fontId="2" fillId="2" borderId="3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6" xfId="2" xr:uid="{DAC38502-2F97-4E29-9DFD-0A25322924F8}"/>
  </cellStyles>
  <dxfs count="0"/>
  <tableStyles count="0" defaultTableStyle="TableStyleMedium2" defaultPivotStyle="PivotStyleLight16"/>
  <colors>
    <mruColors>
      <color rgb="FF9900FF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F146-2011-4DB6-A3FD-4A53C2ED1374}">
  <dimension ref="B2:G27"/>
  <sheetViews>
    <sheetView tabSelected="1" topLeftCell="B1" zoomScaleNormal="100" workbookViewId="0">
      <selection activeCell="G18" sqref="G18"/>
    </sheetView>
  </sheetViews>
  <sheetFormatPr defaultRowHeight="15"/>
  <cols>
    <col min="2" max="2" width="42.85546875" customWidth="1"/>
    <col min="3" max="4" width="39.7109375" customWidth="1"/>
    <col min="5" max="7" width="9.85546875" customWidth="1"/>
  </cols>
  <sheetData>
    <row r="2" spans="2:7" ht="18.75">
      <c r="B2" s="88" t="s">
        <v>0</v>
      </c>
      <c r="C2" s="88"/>
      <c r="D2" s="88"/>
      <c r="E2" s="88"/>
    </row>
    <row r="3" spans="2:7" ht="19.5" thickBot="1">
      <c r="B3" s="1"/>
      <c r="C3" s="2"/>
      <c r="D3" s="2"/>
    </row>
    <row r="4" spans="2:7" ht="15.75" customHeight="1" thickBot="1">
      <c r="C4" s="86" t="s">
        <v>1</v>
      </c>
      <c r="D4" s="86" t="s">
        <v>2</v>
      </c>
      <c r="F4" s="82"/>
      <c r="G4" s="82"/>
    </row>
    <row r="5" spans="2:7" ht="19.5" thickBot="1">
      <c r="B5" s="3" t="s">
        <v>3</v>
      </c>
      <c r="C5" s="87"/>
      <c r="D5" s="87"/>
      <c r="F5" s="82"/>
      <c r="G5" s="82"/>
    </row>
    <row r="6" spans="2:7">
      <c r="B6" s="4" t="s">
        <v>4</v>
      </c>
      <c r="C6" s="5">
        <f>'Overall Summary'!B21</f>
        <v>968000.82</v>
      </c>
      <c r="D6" s="6">
        <f>'Overall Summary'!C21</f>
        <v>1033434.88</v>
      </c>
    </row>
    <row r="7" spans="2:7">
      <c r="B7" s="4" t="s">
        <v>5</v>
      </c>
      <c r="C7" s="5">
        <f>Gait!B8</f>
        <v>308219.96000000002</v>
      </c>
      <c r="D7" s="6">
        <f>'Operations and Services'!B8</f>
        <v>346100</v>
      </c>
    </row>
    <row r="8" spans="2:7">
      <c r="B8" s="59" t="s">
        <v>6</v>
      </c>
      <c r="C8" s="5">
        <f>'Comms '!B9</f>
        <v>38368</v>
      </c>
      <c r="D8" s="5">
        <f>'Comms '!C9</f>
        <v>51803.320000000007</v>
      </c>
    </row>
    <row r="9" spans="2:7" ht="15.75" thickBot="1">
      <c r="B9" s="4" t="s">
        <v>7</v>
      </c>
      <c r="C9" s="5">
        <f>'Activities and Events'!B11</f>
        <v>208941.06</v>
      </c>
      <c r="D9" s="6">
        <f>'Activities and Events'!C11</f>
        <v>228472</v>
      </c>
    </row>
    <row r="10" spans="2:7">
      <c r="B10" s="7" t="s">
        <v>8</v>
      </c>
      <c r="C10" s="8">
        <f>SUM(C6:C9)</f>
        <v>1523529.84</v>
      </c>
      <c r="D10" s="8">
        <f>SUM(D6:D9)</f>
        <v>1659810.2</v>
      </c>
    </row>
    <row r="11" spans="2:7">
      <c r="C11" s="6"/>
      <c r="D11" s="6"/>
    </row>
    <row r="12" spans="2:7" ht="15.75" thickBot="1">
      <c r="C12" s="6"/>
      <c r="D12" s="6"/>
    </row>
    <row r="13" spans="2:7" ht="19.5" thickBot="1">
      <c r="B13" s="24" t="s">
        <v>9</v>
      </c>
      <c r="C13" s="85" t="s">
        <v>1</v>
      </c>
      <c r="D13" s="85" t="s">
        <v>2</v>
      </c>
    </row>
    <row r="14" spans="2:7">
      <c r="B14" s="4" t="s">
        <v>4</v>
      </c>
      <c r="C14" s="6">
        <f>'Overall Summary'!B62</f>
        <v>1027995.82</v>
      </c>
      <c r="D14" s="6">
        <f>'Overall Summary'!C62</f>
        <v>1028417.9911</v>
      </c>
    </row>
    <row r="15" spans="2:7" ht="15" customHeight="1">
      <c r="B15" s="4" t="s">
        <v>5</v>
      </c>
      <c r="C15" s="6">
        <f>Gait!B21</f>
        <v>306407.75000000006</v>
      </c>
      <c r="D15" s="6">
        <f>'Operations and Services'!B15</f>
        <v>346307.85399999999</v>
      </c>
      <c r="G15" s="70"/>
    </row>
    <row r="16" spans="2:7">
      <c r="B16" s="59" t="s">
        <v>6</v>
      </c>
      <c r="C16" s="5">
        <f>'Comms '!B19</f>
        <v>34145.729999999996</v>
      </c>
      <c r="D16" s="5">
        <f>'Comms '!C19</f>
        <v>106000.43000000001</v>
      </c>
      <c r="G16" s="70"/>
    </row>
    <row r="17" spans="2:7" ht="15.75" thickBot="1">
      <c r="B17" s="4" t="s">
        <v>7</v>
      </c>
      <c r="C17" s="6">
        <f>'Activities and Events'!B21</f>
        <v>211907.74</v>
      </c>
      <c r="D17" s="6">
        <f>'Activities and Events'!C21</f>
        <v>224875.26</v>
      </c>
      <c r="G17" s="70"/>
    </row>
    <row r="18" spans="2:7">
      <c r="B18" s="7" t="s">
        <v>10</v>
      </c>
      <c r="C18" s="8">
        <f>SUM(C14:C17)</f>
        <v>1580457.04</v>
      </c>
      <c r="D18" s="8">
        <f>SUM(D14:D17)</f>
        <v>1705601.5351</v>
      </c>
      <c r="G18" s="70"/>
    </row>
    <row r="19" spans="2:7">
      <c r="C19" s="6"/>
      <c r="D19" s="6"/>
      <c r="G19" s="70"/>
    </row>
    <row r="20" spans="2:7" ht="16.5" thickBot="1">
      <c r="B20" s="9" t="s">
        <v>11</v>
      </c>
      <c r="C20" s="10">
        <f>C10-C18</f>
        <v>-56927.199999999953</v>
      </c>
      <c r="D20" s="10">
        <f>D10-D18</f>
        <v>-45791.335100000026</v>
      </c>
      <c r="G20" s="70"/>
    </row>
    <row r="21" spans="2:7" ht="16.5" thickTop="1" thickBot="1">
      <c r="C21" s="5"/>
      <c r="G21" s="70"/>
    </row>
    <row r="22" spans="2:7" ht="20.25" customHeight="1" thickBot="1">
      <c r="B22" s="71" t="s">
        <v>12</v>
      </c>
      <c r="C22" s="72" t="s">
        <v>13</v>
      </c>
      <c r="D22" s="72" t="s">
        <v>14</v>
      </c>
      <c r="G22" s="70"/>
    </row>
    <row r="23" spans="2:7">
      <c r="B23" s="4" t="s">
        <v>15</v>
      </c>
      <c r="C23" s="5">
        <v>478152</v>
      </c>
      <c r="D23" s="5">
        <f>C24</f>
        <v>421224.80000000005</v>
      </c>
      <c r="G23" s="70"/>
    </row>
    <row r="24" spans="2:7">
      <c r="B24" s="4" t="s">
        <v>16</v>
      </c>
      <c r="C24" s="5">
        <f>C23+C20</f>
        <v>421224.80000000005</v>
      </c>
      <c r="D24" s="5">
        <f>D23+D20</f>
        <v>375433.46490000002</v>
      </c>
      <c r="F24" t="s">
        <v>17</v>
      </c>
      <c r="G24" s="70"/>
    </row>
    <row r="25" spans="2:7">
      <c r="C25" s="5"/>
      <c r="D25" s="5"/>
      <c r="G25" s="70"/>
    </row>
    <row r="26" spans="2:7">
      <c r="C26" s="5"/>
      <c r="D26" s="5"/>
      <c r="G26" s="70"/>
    </row>
    <row r="27" spans="2:7">
      <c r="D27" s="5"/>
    </row>
  </sheetData>
  <mergeCells count="3">
    <mergeCell ref="D4:D5"/>
    <mergeCell ref="B2:E2"/>
    <mergeCell ref="C4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92FB-105B-43B5-AA44-8B6DD602A314}">
  <dimension ref="A1:C23"/>
  <sheetViews>
    <sheetView topLeftCell="A5" workbookViewId="0">
      <selection activeCell="C20" sqref="C20"/>
    </sheetView>
  </sheetViews>
  <sheetFormatPr defaultRowHeight="15"/>
  <cols>
    <col min="1" max="3" width="28.28515625" customWidth="1"/>
  </cols>
  <sheetData>
    <row r="1" spans="1:3" ht="19.5" thickBot="1">
      <c r="A1" s="88" t="s">
        <v>167</v>
      </c>
      <c r="B1" s="88"/>
      <c r="C1" s="88"/>
    </row>
    <row r="2" spans="1:3" ht="19.5" thickBot="1">
      <c r="A2" s="21" t="s">
        <v>168</v>
      </c>
      <c r="B2" s="86" t="s">
        <v>13</v>
      </c>
      <c r="C2" s="99" t="s">
        <v>14</v>
      </c>
    </row>
    <row r="3" spans="1:3" ht="19.5" thickBot="1">
      <c r="A3" s="3" t="s">
        <v>3</v>
      </c>
      <c r="B3" s="87"/>
      <c r="C3" s="100"/>
    </row>
    <row r="4" spans="1:3">
      <c r="A4" s="4" t="s">
        <v>169</v>
      </c>
      <c r="B4" s="6">
        <v>68</v>
      </c>
      <c r="C4" s="6">
        <v>0</v>
      </c>
    </row>
    <row r="5" spans="1:3">
      <c r="A5" s="4" t="s">
        <v>170</v>
      </c>
      <c r="B5" s="6">
        <v>320</v>
      </c>
      <c r="C5" s="6">
        <v>1000</v>
      </c>
    </row>
    <row r="6" spans="1:3" ht="15.75">
      <c r="A6" s="9" t="s">
        <v>96</v>
      </c>
      <c r="B6" s="8">
        <f>SUM(B4:B5)</f>
        <v>388</v>
      </c>
      <c r="C6" s="8">
        <f>SUM(C4:C5)</f>
        <v>1000</v>
      </c>
    </row>
    <row r="7" spans="1:3">
      <c r="B7" s="6"/>
      <c r="C7" s="6"/>
    </row>
    <row r="8" spans="1:3">
      <c r="B8" s="6"/>
      <c r="C8" s="6"/>
    </row>
    <row r="9" spans="1:3" ht="18.75">
      <c r="A9" s="3" t="s">
        <v>9</v>
      </c>
      <c r="B9" s="3" t="s">
        <v>13</v>
      </c>
      <c r="C9" s="3" t="s">
        <v>14</v>
      </c>
    </row>
    <row r="10" spans="1:3">
      <c r="A10" s="4" t="s">
        <v>171</v>
      </c>
      <c r="B10" s="6">
        <v>2400</v>
      </c>
      <c r="C10" s="6">
        <v>0</v>
      </c>
    </row>
    <row r="11" spans="1:3">
      <c r="A11" s="4" t="s">
        <v>172</v>
      </c>
      <c r="B11" s="6">
        <v>500</v>
      </c>
      <c r="C11" s="6">
        <v>0</v>
      </c>
    </row>
    <row r="12" spans="1:3">
      <c r="A12" s="4" t="s">
        <v>173</v>
      </c>
      <c r="B12" s="6">
        <v>100</v>
      </c>
      <c r="C12" s="6">
        <v>0</v>
      </c>
    </row>
    <row r="13" spans="1:3">
      <c r="A13" s="4" t="s">
        <v>174</v>
      </c>
      <c r="B13" s="6">
        <v>749</v>
      </c>
      <c r="C13" s="6">
        <v>500</v>
      </c>
    </row>
    <row r="14" spans="1:3">
      <c r="A14" s="4" t="s">
        <v>175</v>
      </c>
      <c r="B14" s="6"/>
      <c r="C14" s="6">
        <v>300</v>
      </c>
    </row>
    <row r="15" spans="1:3">
      <c r="A15" s="4" t="s">
        <v>149</v>
      </c>
      <c r="B15" s="6">
        <v>1500</v>
      </c>
      <c r="C15" s="6">
        <v>0</v>
      </c>
    </row>
    <row r="16" spans="1:3">
      <c r="A16" s="4" t="s">
        <v>176</v>
      </c>
      <c r="B16" s="6"/>
      <c r="C16" s="6">
        <v>0</v>
      </c>
    </row>
    <row r="17" spans="1:3">
      <c r="A17" s="4" t="s">
        <v>177</v>
      </c>
      <c r="B17" s="6">
        <v>204.47</v>
      </c>
      <c r="C17" s="6">
        <v>0</v>
      </c>
    </row>
    <row r="18" spans="1:3">
      <c r="A18" s="4" t="s">
        <v>178</v>
      </c>
      <c r="B18" s="5">
        <v>0</v>
      </c>
      <c r="C18" s="5">
        <v>150</v>
      </c>
    </row>
    <row r="19" spans="1:3">
      <c r="A19" s="4" t="s">
        <v>179</v>
      </c>
      <c r="B19" s="6">
        <v>0</v>
      </c>
      <c r="C19" s="6">
        <v>1000</v>
      </c>
    </row>
    <row r="20" spans="1:3">
      <c r="A20" s="4" t="s">
        <v>180</v>
      </c>
      <c r="B20" s="5">
        <v>0</v>
      </c>
      <c r="C20" s="6">
        <v>500</v>
      </c>
    </row>
    <row r="21" spans="1:3" ht="15.75">
      <c r="A21" s="9" t="s">
        <v>10</v>
      </c>
      <c r="B21" s="8">
        <f>SUM(B10:B20)</f>
        <v>5453.47</v>
      </c>
      <c r="C21" s="8">
        <f>SUM(C10:C20)</f>
        <v>2450</v>
      </c>
    </row>
    <row r="22" spans="1:3">
      <c r="B22" s="6"/>
      <c r="C22" s="6"/>
    </row>
    <row r="23" spans="1:3" ht="15.75">
      <c r="A23" s="9" t="s">
        <v>11</v>
      </c>
      <c r="B23" s="15">
        <f>B6-B21</f>
        <v>-5065.47</v>
      </c>
      <c r="C23" s="15">
        <f>C6-C21</f>
        <v>-1450</v>
      </c>
    </row>
  </sheetData>
  <mergeCells count="3">
    <mergeCell ref="A1:C1"/>
    <mergeCell ref="B2:B3"/>
    <mergeCell ref="C2:C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668A-ACB4-4FBB-AC4B-10CE8E198CBF}">
  <dimension ref="A1:D32"/>
  <sheetViews>
    <sheetView topLeftCell="A13" workbookViewId="0">
      <selection activeCell="B26" sqref="B26"/>
    </sheetView>
  </sheetViews>
  <sheetFormatPr defaultRowHeight="15"/>
  <cols>
    <col min="1" max="3" width="43.140625" customWidth="1"/>
  </cols>
  <sheetData>
    <row r="1" spans="1:4" ht="18.75">
      <c r="A1" s="88" t="s">
        <v>118</v>
      </c>
      <c r="B1" s="88"/>
      <c r="C1" s="88"/>
    </row>
    <row r="2" spans="1:4" ht="15.75" thickBot="1"/>
    <row r="3" spans="1:4" ht="19.5" thickBot="1">
      <c r="A3" s="21" t="s">
        <v>113</v>
      </c>
      <c r="B3" s="90" t="s">
        <v>13</v>
      </c>
      <c r="C3" s="90" t="s">
        <v>14</v>
      </c>
    </row>
    <row r="4" spans="1:4" ht="19.5" thickBot="1">
      <c r="A4" s="3" t="s">
        <v>3</v>
      </c>
      <c r="B4" s="91"/>
      <c r="C4" s="91"/>
    </row>
    <row r="5" spans="1:4">
      <c r="A5" s="4" t="s">
        <v>181</v>
      </c>
      <c r="B5" s="6">
        <v>75761</v>
      </c>
      <c r="C5" s="6">
        <f>60*1300</f>
        <v>78000</v>
      </c>
    </row>
    <row r="6" spans="1:4">
      <c r="A6" s="4" t="s">
        <v>182</v>
      </c>
      <c r="B6" s="6">
        <v>8978</v>
      </c>
      <c r="C6" s="6">
        <v>10000</v>
      </c>
    </row>
    <row r="7" spans="1:4" ht="15.75" thickBot="1">
      <c r="A7" s="4" t="s">
        <v>183</v>
      </c>
      <c r="B7" s="6">
        <v>1800</v>
      </c>
      <c r="C7" s="6">
        <v>5000</v>
      </c>
    </row>
    <row r="8" spans="1:4" ht="15.75">
      <c r="A8" s="9" t="s">
        <v>96</v>
      </c>
      <c r="B8" s="8">
        <f>SUM(B5:B7)</f>
        <v>86539</v>
      </c>
      <c r="C8" s="8">
        <f>SUM(C5:C7)</f>
        <v>93000</v>
      </c>
    </row>
    <row r="9" spans="1:4">
      <c r="B9" s="6"/>
      <c r="C9" s="6"/>
    </row>
    <row r="10" spans="1:4" ht="15.75" thickBot="1">
      <c r="B10" s="6"/>
      <c r="C10" s="6"/>
    </row>
    <row r="11" spans="1:4" ht="19.5" thickBot="1">
      <c r="A11" s="3" t="s">
        <v>9</v>
      </c>
      <c r="B11" s="3" t="s">
        <v>13</v>
      </c>
      <c r="C11" s="3" t="s">
        <v>14</v>
      </c>
    </row>
    <row r="12" spans="1:4">
      <c r="A12" s="4" t="s">
        <v>184</v>
      </c>
      <c r="B12" s="6">
        <v>23500</v>
      </c>
      <c r="C12" s="6">
        <v>26000</v>
      </c>
    </row>
    <row r="13" spans="1:4">
      <c r="A13" s="4" t="s">
        <v>97</v>
      </c>
      <c r="B13" s="5">
        <v>6000</v>
      </c>
      <c r="C13" s="5">
        <v>6000</v>
      </c>
    </row>
    <row r="14" spans="1:4">
      <c r="A14" s="4" t="s">
        <v>185</v>
      </c>
      <c r="B14" s="5">
        <v>0</v>
      </c>
      <c r="C14" s="5">
        <v>5000</v>
      </c>
    </row>
    <row r="15" spans="1:4">
      <c r="A15" s="4" t="s">
        <v>186</v>
      </c>
      <c r="B15" s="6">
        <v>16325</v>
      </c>
      <c r="C15" s="6">
        <v>17000</v>
      </c>
    </row>
    <row r="16" spans="1:4">
      <c r="A16" s="4" t="s">
        <v>187</v>
      </c>
      <c r="B16" s="6">
        <v>10000</v>
      </c>
      <c r="C16" s="6">
        <v>10000</v>
      </c>
      <c r="D16" s="69"/>
    </row>
    <row r="17" spans="1:3">
      <c r="A17" s="4" t="s">
        <v>188</v>
      </c>
      <c r="B17" s="6">
        <v>1200</v>
      </c>
      <c r="C17" s="6">
        <v>1350</v>
      </c>
    </row>
    <row r="18" spans="1:3">
      <c r="A18" s="4" t="s">
        <v>189</v>
      </c>
      <c r="B18" s="6">
        <v>250</v>
      </c>
      <c r="C18" s="6">
        <v>300</v>
      </c>
    </row>
    <row r="19" spans="1:3">
      <c r="A19" s="4" t="s">
        <v>190</v>
      </c>
      <c r="B19" s="6">
        <v>1115</v>
      </c>
      <c r="C19" s="6">
        <v>0</v>
      </c>
    </row>
    <row r="20" spans="1:3">
      <c r="A20" s="4" t="s">
        <v>136</v>
      </c>
      <c r="B20" s="6">
        <v>705</v>
      </c>
      <c r="C20" s="6">
        <v>750</v>
      </c>
    </row>
    <row r="21" spans="1:3">
      <c r="A21" s="4" t="s">
        <v>191</v>
      </c>
      <c r="B21" s="6">
        <v>5000</v>
      </c>
      <c r="C21" s="6">
        <v>5000</v>
      </c>
    </row>
    <row r="22" spans="1:3">
      <c r="A22" s="4" t="s">
        <v>192</v>
      </c>
      <c r="B22" s="6">
        <v>2000</v>
      </c>
      <c r="C22" s="6">
        <v>500</v>
      </c>
    </row>
    <row r="23" spans="1:3">
      <c r="A23" s="4" t="s">
        <v>137</v>
      </c>
      <c r="B23" s="6">
        <v>1222</v>
      </c>
      <c r="C23" s="6">
        <v>1300</v>
      </c>
    </row>
    <row r="24" spans="1:3">
      <c r="A24" s="4" t="s">
        <v>193</v>
      </c>
      <c r="B24" s="6">
        <v>1500</v>
      </c>
      <c r="C24" s="6">
        <v>1500</v>
      </c>
    </row>
    <row r="25" spans="1:3">
      <c r="A25" s="4" t="s">
        <v>135</v>
      </c>
      <c r="B25" s="6">
        <v>5000</v>
      </c>
      <c r="C25" s="6">
        <v>5000</v>
      </c>
    </row>
    <row r="26" spans="1:3">
      <c r="A26" s="4" t="s">
        <v>194</v>
      </c>
      <c r="B26" s="6">
        <v>1400</v>
      </c>
      <c r="C26" s="6">
        <v>1500</v>
      </c>
    </row>
    <row r="27" spans="1:3">
      <c r="A27" s="4" t="s">
        <v>195</v>
      </c>
      <c r="B27" s="6">
        <v>2500</v>
      </c>
      <c r="C27" s="6">
        <v>750</v>
      </c>
    </row>
    <row r="28" spans="1:3">
      <c r="A28" s="4" t="s">
        <v>138</v>
      </c>
      <c r="B28" s="6">
        <v>250</v>
      </c>
      <c r="C28" s="6">
        <v>250</v>
      </c>
    </row>
    <row r="29" spans="1:3">
      <c r="A29" s="4" t="s">
        <v>196</v>
      </c>
      <c r="B29" s="6">
        <v>0</v>
      </c>
      <c r="C29" s="6">
        <v>1000</v>
      </c>
    </row>
    <row r="30" spans="1:3" ht="15.75">
      <c r="A30" s="9" t="s">
        <v>10</v>
      </c>
      <c r="B30" s="8">
        <f>SUM(B12:B29)</f>
        <v>77967</v>
      </c>
      <c r="C30" s="8">
        <f>SUM(C12:C29)</f>
        <v>83200</v>
      </c>
    </row>
    <row r="31" spans="1:3">
      <c r="C31" s="6"/>
    </row>
    <row r="32" spans="1:3" ht="15.75">
      <c r="A32" s="9" t="s">
        <v>11</v>
      </c>
      <c r="B32" s="15">
        <f>B8-B30</f>
        <v>8572</v>
      </c>
      <c r="C32" s="15">
        <f>C8-C30</f>
        <v>9800</v>
      </c>
    </row>
  </sheetData>
  <mergeCells count="3">
    <mergeCell ref="A1:C1"/>
    <mergeCell ref="B3:B4"/>
    <mergeCell ref="C3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A216-C790-4B22-9BD5-2C345BA49182}">
  <dimension ref="A1:D19"/>
  <sheetViews>
    <sheetView workbookViewId="0">
      <selection activeCell="C15" sqref="C15"/>
    </sheetView>
  </sheetViews>
  <sheetFormatPr defaultRowHeight="15"/>
  <cols>
    <col min="1" max="3" width="40.42578125" customWidth="1"/>
    <col min="4" max="4" width="56.140625" customWidth="1"/>
  </cols>
  <sheetData>
    <row r="1" spans="1:4" ht="18.75">
      <c r="A1" s="88" t="s">
        <v>118</v>
      </c>
      <c r="B1" s="88"/>
      <c r="C1" s="88"/>
      <c r="D1" s="88"/>
    </row>
    <row r="2" spans="1:4" ht="15.75" thickBot="1"/>
    <row r="3" spans="1:4" ht="19.5" thickBot="1">
      <c r="A3" s="21" t="s">
        <v>197</v>
      </c>
      <c r="B3" s="90" t="s">
        <v>13</v>
      </c>
      <c r="C3" s="90" t="s">
        <v>14</v>
      </c>
    </row>
    <row r="4" spans="1:4" ht="19.5" thickBot="1">
      <c r="A4" s="3" t="s">
        <v>3</v>
      </c>
      <c r="B4" s="91"/>
      <c r="C4" s="91"/>
    </row>
    <row r="5" spans="1:4" ht="15.75" thickBot="1">
      <c r="A5" s="25" t="s">
        <v>198</v>
      </c>
      <c r="B5" s="6">
        <v>2421.14</v>
      </c>
      <c r="C5" s="6">
        <f>30.55*100</f>
        <v>3055</v>
      </c>
    </row>
    <row r="6" spans="1:4" ht="15.75">
      <c r="A6" s="9" t="s">
        <v>96</v>
      </c>
      <c r="B6" s="8">
        <f>SUM(B5)</f>
        <v>2421.14</v>
      </c>
      <c r="C6" s="8">
        <f>C5</f>
        <v>3055</v>
      </c>
    </row>
    <row r="8" spans="1:4" ht="15.75" thickBot="1"/>
    <row r="9" spans="1:4" ht="19.5" thickBot="1">
      <c r="A9" s="3" t="s">
        <v>9</v>
      </c>
      <c r="B9" s="3" t="s">
        <v>13</v>
      </c>
      <c r="C9" s="3" t="s">
        <v>14</v>
      </c>
    </row>
    <row r="10" spans="1:4">
      <c r="A10" s="4" t="s">
        <v>199</v>
      </c>
      <c r="B10" s="6">
        <v>295</v>
      </c>
      <c r="C10" s="6">
        <v>1200</v>
      </c>
      <c r="D10" s="66"/>
    </row>
    <row r="11" spans="1:4">
      <c r="A11" s="4" t="s">
        <v>200</v>
      </c>
      <c r="B11" s="6">
        <v>0</v>
      </c>
      <c r="C11" s="6">
        <f>18*40</f>
        <v>720</v>
      </c>
      <c r="D11" s="66"/>
    </row>
    <row r="12" spans="1:4">
      <c r="A12" s="4" t="s">
        <v>201</v>
      </c>
      <c r="B12" s="5">
        <v>0</v>
      </c>
      <c r="C12" s="5">
        <v>240</v>
      </c>
      <c r="D12" s="66"/>
    </row>
    <row r="13" spans="1:4">
      <c r="A13" s="4" t="s">
        <v>202</v>
      </c>
      <c r="B13" s="5">
        <v>0</v>
      </c>
      <c r="C13" s="5">
        <v>200</v>
      </c>
    </row>
    <row r="14" spans="1:4">
      <c r="A14" s="4" t="s">
        <v>203</v>
      </c>
      <c r="B14" s="5">
        <v>0</v>
      </c>
      <c r="C14" s="5">
        <v>600</v>
      </c>
    </row>
    <row r="15" spans="1:4" ht="15.75" thickBot="1">
      <c r="A15" s="4" t="s">
        <v>204</v>
      </c>
      <c r="B15" s="6">
        <v>1100</v>
      </c>
      <c r="C15" s="6">
        <v>0</v>
      </c>
    </row>
    <row r="16" spans="1:4" ht="15.75">
      <c r="A16" s="9" t="s">
        <v>10</v>
      </c>
      <c r="B16" s="8">
        <f>SUM(B10:B15)</f>
        <v>1395</v>
      </c>
      <c r="C16" s="8">
        <f>SUM(C10:C15)</f>
        <v>2960</v>
      </c>
    </row>
    <row r="17" spans="1:3">
      <c r="B17" s="6"/>
      <c r="C17" s="6"/>
    </row>
    <row r="18" spans="1:3" ht="16.5" thickBot="1">
      <c r="A18" s="9" t="s">
        <v>11</v>
      </c>
      <c r="B18" s="15">
        <f>B6-B16</f>
        <v>1026.1399999999999</v>
      </c>
      <c r="C18" s="15">
        <f>C6-C16</f>
        <v>95</v>
      </c>
    </row>
    <row r="19" spans="1:3" ht="15.75" thickTop="1"/>
  </sheetData>
  <mergeCells count="3">
    <mergeCell ref="A1:D1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20AA-B1BF-471A-9496-EB272E8D7D82}">
  <dimension ref="A1:D20"/>
  <sheetViews>
    <sheetView topLeftCell="A9" workbookViewId="0">
      <selection activeCell="C13" sqref="C13"/>
    </sheetView>
  </sheetViews>
  <sheetFormatPr defaultRowHeight="15"/>
  <cols>
    <col min="1" max="4" width="34.42578125" customWidth="1"/>
  </cols>
  <sheetData>
    <row r="1" spans="1:4" ht="18.75">
      <c r="A1" s="88" t="s">
        <v>118</v>
      </c>
      <c r="B1" s="88"/>
      <c r="C1" s="88"/>
      <c r="D1" s="88"/>
    </row>
    <row r="2" spans="1:4" ht="15.75" thickBot="1"/>
    <row r="3" spans="1:4" ht="19.5" thickBot="1">
      <c r="A3" s="21" t="s">
        <v>205</v>
      </c>
      <c r="B3" s="90" t="s">
        <v>13</v>
      </c>
      <c r="C3" s="90" t="s">
        <v>14</v>
      </c>
    </row>
    <row r="4" spans="1:4" ht="19.5" thickBot="1">
      <c r="A4" s="3" t="s">
        <v>3</v>
      </c>
      <c r="B4" s="91"/>
      <c r="C4" s="91"/>
    </row>
    <row r="5" spans="1:4">
      <c r="A5" s="4" t="s">
        <v>206</v>
      </c>
      <c r="B5" s="6">
        <f>115*197</f>
        <v>22655</v>
      </c>
      <c r="C5" s="6">
        <f>225*125</f>
        <v>28125</v>
      </c>
    </row>
    <row r="6" spans="1:4" ht="15.75" thickBot="1">
      <c r="A6" s="4" t="s">
        <v>207</v>
      </c>
      <c r="B6" s="6">
        <v>3304</v>
      </c>
      <c r="C6" s="6">
        <v>3500</v>
      </c>
    </row>
    <row r="7" spans="1:4" ht="15.75">
      <c r="A7" s="9" t="s">
        <v>96</v>
      </c>
      <c r="B7" s="8">
        <f>SUM(B5:B6)</f>
        <v>25959</v>
      </c>
      <c r="C7" s="8">
        <f>SUM(C5:C6)</f>
        <v>31625</v>
      </c>
    </row>
    <row r="8" spans="1:4">
      <c r="B8" s="6"/>
      <c r="C8" s="6"/>
    </row>
    <row r="9" spans="1:4" ht="15.75" thickBot="1">
      <c r="B9" s="6"/>
      <c r="C9" s="6"/>
    </row>
    <row r="10" spans="1:4" ht="19.5" thickBot="1">
      <c r="A10" s="3" t="s">
        <v>9</v>
      </c>
      <c r="B10" s="3" t="s">
        <v>13</v>
      </c>
      <c r="C10" s="3" t="s">
        <v>14</v>
      </c>
    </row>
    <row r="11" spans="1:4">
      <c r="A11" s="4" t="s">
        <v>208</v>
      </c>
      <c r="B11" s="6">
        <v>25889.27</v>
      </c>
      <c r="C11" s="6">
        <v>28400</v>
      </c>
    </row>
    <row r="12" spans="1:4">
      <c r="A12" s="4" t="s">
        <v>209</v>
      </c>
      <c r="B12" s="6">
        <v>300</v>
      </c>
      <c r="C12" s="6">
        <v>500</v>
      </c>
    </row>
    <row r="13" spans="1:4">
      <c r="A13" s="4" t="s">
        <v>210</v>
      </c>
      <c r="B13" s="6">
        <f>700+331</f>
        <v>1031</v>
      </c>
      <c r="C13" s="6">
        <v>300</v>
      </c>
    </row>
    <row r="14" spans="1:4">
      <c r="A14" s="4" t="s">
        <v>211</v>
      </c>
      <c r="B14" s="6">
        <v>0</v>
      </c>
      <c r="C14" s="6">
        <v>0</v>
      </c>
    </row>
    <row r="15" spans="1:4">
      <c r="A15" s="4" t="s">
        <v>80</v>
      </c>
      <c r="B15" s="6">
        <v>400</v>
      </c>
      <c r="C15" s="6">
        <v>400</v>
      </c>
    </row>
    <row r="16" spans="1:4" ht="15.75" thickBot="1">
      <c r="A16" s="4" t="s">
        <v>199</v>
      </c>
      <c r="B16" s="6">
        <v>1725</v>
      </c>
      <c r="C16" s="6">
        <v>2000</v>
      </c>
    </row>
    <row r="17" spans="1:3" ht="15.75">
      <c r="A17" s="9" t="s">
        <v>10</v>
      </c>
      <c r="B17" s="8">
        <f>SUM(B11:B16)</f>
        <v>29345.27</v>
      </c>
      <c r="C17" s="8">
        <f>SUM(C11:C16)</f>
        <v>31600</v>
      </c>
    </row>
    <row r="18" spans="1:3">
      <c r="B18" s="6"/>
      <c r="C18" s="6"/>
    </row>
    <row r="19" spans="1:3" ht="16.5" thickBot="1">
      <c r="A19" s="9" t="s">
        <v>11</v>
      </c>
      <c r="B19" s="15">
        <f>B7-B17</f>
        <v>-3386.2700000000004</v>
      </c>
      <c r="C19" s="15">
        <f>C7-C17</f>
        <v>25</v>
      </c>
    </row>
    <row r="20" spans="1:3" ht="15.75" thickTop="1"/>
  </sheetData>
  <mergeCells count="3">
    <mergeCell ref="A1:D1"/>
    <mergeCell ref="B3:B4"/>
    <mergeCell ref="C3:C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6E9EC-A926-41CD-8698-504B2DEEBADF}">
  <dimension ref="B1:C14"/>
  <sheetViews>
    <sheetView workbookViewId="0">
      <selection activeCell="C4" sqref="C4"/>
    </sheetView>
  </sheetViews>
  <sheetFormatPr defaultRowHeight="15"/>
  <cols>
    <col min="2" max="2" width="26.42578125" customWidth="1"/>
    <col min="3" max="3" width="34.140625" customWidth="1"/>
  </cols>
  <sheetData>
    <row r="1" spans="2:3" ht="15.75" thickBot="1"/>
    <row r="2" spans="2:3" ht="19.5" thickBot="1">
      <c r="B2" s="61" t="s">
        <v>116</v>
      </c>
      <c r="C2" s="90" t="s">
        <v>14</v>
      </c>
    </row>
    <row r="3" spans="2:3" ht="19.5" thickBot="1">
      <c r="B3" s="3" t="s">
        <v>3</v>
      </c>
      <c r="C3" s="91"/>
    </row>
    <row r="4" spans="2:3" ht="15.75" thickBot="1">
      <c r="B4" s="4" t="s">
        <v>212</v>
      </c>
      <c r="C4" s="6">
        <v>500</v>
      </c>
    </row>
    <row r="5" spans="2:3" ht="15.75">
      <c r="B5" s="9" t="s">
        <v>96</v>
      </c>
      <c r="C5" s="8">
        <f>SUM(C4:C4)</f>
        <v>500</v>
      </c>
    </row>
    <row r="6" spans="2:3">
      <c r="B6" s="4"/>
      <c r="C6" s="6"/>
    </row>
    <row r="7" spans="2:3" ht="15.75" thickBot="1">
      <c r="B7" s="4"/>
      <c r="C7" s="6"/>
    </row>
    <row r="8" spans="2:3" ht="19.5" thickBot="1">
      <c r="B8" s="3" t="s">
        <v>9</v>
      </c>
      <c r="C8" s="26" t="s">
        <v>14</v>
      </c>
    </row>
    <row r="9" spans="2:3">
      <c r="B9" s="4" t="s">
        <v>213</v>
      </c>
      <c r="C9" s="5">
        <v>1250</v>
      </c>
    </row>
    <row r="10" spans="2:3" ht="15.75" thickBot="1">
      <c r="B10" s="4" t="s">
        <v>214</v>
      </c>
      <c r="C10" s="5">
        <v>1500</v>
      </c>
    </row>
    <row r="11" spans="2:3" ht="15.75">
      <c r="B11" s="9" t="s">
        <v>10</v>
      </c>
      <c r="C11" s="8">
        <f>SUM(C9:C10)</f>
        <v>2750</v>
      </c>
    </row>
    <row r="12" spans="2:3">
      <c r="B12" s="4"/>
      <c r="C12" s="6"/>
    </row>
    <row r="13" spans="2:3" ht="16.5" thickBot="1">
      <c r="B13" s="9" t="s">
        <v>11</v>
      </c>
      <c r="C13" s="15">
        <f>C5-C11</f>
        <v>-2250</v>
      </c>
    </row>
    <row r="14" spans="2:3" ht="15.75" thickTop="1"/>
  </sheetData>
  <mergeCells count="1"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3521-37C8-4A20-A387-7823512F3208}">
  <dimension ref="A1:I64"/>
  <sheetViews>
    <sheetView topLeftCell="A48" zoomScale="110" zoomScaleNormal="110" workbookViewId="0">
      <selection activeCell="E6" sqref="E6"/>
    </sheetView>
  </sheetViews>
  <sheetFormatPr defaultRowHeight="15"/>
  <cols>
    <col min="1" max="3" width="36.85546875" customWidth="1"/>
    <col min="4" max="4" width="13.85546875" customWidth="1"/>
    <col min="5" max="5" width="12.5703125" customWidth="1"/>
    <col min="7" max="8" width="9.42578125" customWidth="1"/>
  </cols>
  <sheetData>
    <row r="1" spans="1:9" ht="20.25">
      <c r="A1" s="89" t="s">
        <v>18</v>
      </c>
      <c r="B1" s="89"/>
      <c r="C1" s="89"/>
      <c r="D1" s="89"/>
    </row>
    <row r="2" spans="1:9" ht="19.5" thickBot="1">
      <c r="A2" s="1"/>
      <c r="B2" s="7"/>
    </row>
    <row r="3" spans="1:9" ht="15.75" thickBot="1">
      <c r="B3" s="90" t="s">
        <v>1</v>
      </c>
      <c r="C3" s="90" t="s">
        <v>2</v>
      </c>
    </row>
    <row r="4" spans="1:9" ht="19.5" customHeight="1" thickBot="1">
      <c r="A4" s="3" t="s">
        <v>3</v>
      </c>
      <c r="B4" s="91"/>
      <c r="C4" s="91"/>
    </row>
    <row r="5" spans="1:9" ht="15.75" customHeight="1">
      <c r="A5" s="4" t="s">
        <v>19</v>
      </c>
      <c r="B5" s="6">
        <v>394276.7</v>
      </c>
      <c r="C5" s="6">
        <f>(78.11*2)*2650+15258.88</f>
        <v>429241.88</v>
      </c>
      <c r="D5" s="83"/>
      <c r="E5" s="83"/>
    </row>
    <row r="6" spans="1:9">
      <c r="A6" s="4" t="s">
        <v>20</v>
      </c>
      <c r="B6" s="5">
        <v>0</v>
      </c>
      <c r="C6" s="5">
        <f>9*2650-SafeDrive!B5</f>
        <v>13250</v>
      </c>
    </row>
    <row r="7" spans="1:9">
      <c r="A7" s="4" t="s">
        <v>21</v>
      </c>
      <c r="B7" s="6">
        <v>494533</v>
      </c>
      <c r="C7" s="6">
        <v>500000</v>
      </c>
      <c r="H7" s="5"/>
      <c r="I7" s="5"/>
    </row>
    <row r="8" spans="1:9">
      <c r="A8" s="4" t="s">
        <v>22</v>
      </c>
      <c r="B8" s="6">
        <v>10000</v>
      </c>
      <c r="C8" s="5">
        <v>15000</v>
      </c>
      <c r="I8" s="5"/>
    </row>
    <row r="9" spans="1:9">
      <c r="A9" s="4" t="s">
        <v>23</v>
      </c>
      <c r="B9" s="6">
        <v>12044</v>
      </c>
      <c r="C9" s="6">
        <v>12441</v>
      </c>
    </row>
    <row r="10" spans="1:9">
      <c r="A10" s="4" t="s">
        <v>24</v>
      </c>
      <c r="B10" s="6">
        <v>3227.2</v>
      </c>
      <c r="C10" s="5">
        <v>3500</v>
      </c>
    </row>
    <row r="11" spans="1:9">
      <c r="A11" s="4" t="s">
        <v>25</v>
      </c>
      <c r="B11" s="6">
        <v>2000</v>
      </c>
      <c r="C11" s="6">
        <v>3500</v>
      </c>
    </row>
    <row r="12" spans="1:9">
      <c r="A12" s="4" t="s">
        <v>26</v>
      </c>
      <c r="B12" s="6">
        <v>4000</v>
      </c>
      <c r="C12" s="6">
        <v>4000</v>
      </c>
    </row>
    <row r="13" spans="1:9">
      <c r="A13" s="4" t="s">
        <v>27</v>
      </c>
      <c r="B13" s="6">
        <v>488</v>
      </c>
      <c r="C13" s="6">
        <v>600</v>
      </c>
    </row>
    <row r="14" spans="1:9">
      <c r="A14" s="4" t="s">
        <v>28</v>
      </c>
      <c r="B14" s="6">
        <v>5000</v>
      </c>
      <c r="C14" s="6">
        <v>5000</v>
      </c>
    </row>
    <row r="15" spans="1:9">
      <c r="A15" s="4" t="s">
        <v>29</v>
      </c>
      <c r="B15" s="6">
        <v>27150</v>
      </c>
      <c r="C15" s="6">
        <f>(5.59*2)*2650</f>
        <v>29627</v>
      </c>
    </row>
    <row r="16" spans="1:9">
      <c r="A16" s="4" t="s">
        <v>30</v>
      </c>
      <c r="B16" s="6">
        <v>4487.92</v>
      </c>
      <c r="C16" s="6">
        <v>0</v>
      </c>
    </row>
    <row r="17" spans="1:8">
      <c r="A17" s="4" t="s">
        <v>31</v>
      </c>
      <c r="B17" s="5">
        <v>0</v>
      </c>
      <c r="C17" s="5">
        <v>8775</v>
      </c>
    </row>
    <row r="18" spans="1:8">
      <c r="A18" s="4" t="s">
        <v>32</v>
      </c>
      <c r="B18" s="5">
        <v>0</v>
      </c>
      <c r="C18" s="5">
        <v>6000</v>
      </c>
    </row>
    <row r="19" spans="1:8">
      <c r="A19" s="4" t="s">
        <v>33</v>
      </c>
      <c r="B19" s="5">
        <v>0</v>
      </c>
      <c r="C19" s="5">
        <f>10*250</f>
        <v>2500</v>
      </c>
    </row>
    <row r="20" spans="1:8" ht="15.75" thickBot="1">
      <c r="A20" s="4" t="s">
        <v>34</v>
      </c>
      <c r="B20" s="49">
        <f>3500+1674+2250+2900+470</f>
        <v>10794</v>
      </c>
      <c r="C20" s="5">
        <v>0</v>
      </c>
    </row>
    <row r="21" spans="1:8" ht="15.75">
      <c r="A21" s="9" t="s">
        <v>8</v>
      </c>
      <c r="B21" s="34">
        <f>SUM(B5:B20)</f>
        <v>968000.82</v>
      </c>
      <c r="C21" s="8">
        <f>SUM(C5:C20)</f>
        <v>1033434.88</v>
      </c>
    </row>
    <row r="23" spans="1:8" ht="15.75" thickBot="1"/>
    <row r="24" spans="1:8" ht="19.5" thickBot="1">
      <c r="A24" s="3" t="s">
        <v>9</v>
      </c>
      <c r="B24" s="3" t="s">
        <v>13</v>
      </c>
      <c r="C24" s="3" t="s">
        <v>14</v>
      </c>
    </row>
    <row r="25" spans="1:8">
      <c r="A25" s="4" t="s">
        <v>35</v>
      </c>
      <c r="B25" s="6">
        <v>494533</v>
      </c>
      <c r="C25" s="6">
        <v>500000</v>
      </c>
    </row>
    <row r="26" spans="1:8">
      <c r="A26" s="4" t="s">
        <v>36</v>
      </c>
      <c r="B26" s="6">
        <v>385266</v>
      </c>
      <c r="C26" s="6">
        <v>344540.99109999998</v>
      </c>
      <c r="D26" s="5"/>
      <c r="G26" s="5"/>
      <c r="H26" s="5"/>
    </row>
    <row r="27" spans="1:8">
      <c r="A27" s="4" t="s">
        <v>37</v>
      </c>
      <c r="B27" s="6">
        <v>2000</v>
      </c>
      <c r="C27" s="6">
        <v>600</v>
      </c>
      <c r="D27" s="5"/>
    </row>
    <row r="28" spans="1:8">
      <c r="A28" s="4" t="s">
        <v>38</v>
      </c>
      <c r="B28" s="6">
        <v>2476</v>
      </c>
      <c r="C28" s="6">
        <f>500*6</f>
        <v>3000</v>
      </c>
      <c r="D28" s="5"/>
    </row>
    <row r="29" spans="1:8">
      <c r="A29" s="4" t="s">
        <v>39</v>
      </c>
      <c r="B29" s="6">
        <v>1948.07</v>
      </c>
      <c r="C29" s="6">
        <v>1000</v>
      </c>
      <c r="D29" s="5"/>
    </row>
    <row r="30" spans="1:8">
      <c r="A30" s="4" t="s">
        <v>40</v>
      </c>
      <c r="B30" s="6">
        <v>1500</v>
      </c>
      <c r="C30" s="6">
        <v>0</v>
      </c>
      <c r="D30" s="5"/>
    </row>
    <row r="31" spans="1:8">
      <c r="A31" s="4" t="s">
        <v>41</v>
      </c>
      <c r="B31" s="6">
        <v>500</v>
      </c>
      <c r="C31" s="6">
        <v>500</v>
      </c>
      <c r="D31" s="5"/>
    </row>
    <row r="32" spans="1:8">
      <c r="A32" s="4" t="s">
        <v>29</v>
      </c>
      <c r="B32" s="6">
        <v>26493.29</v>
      </c>
      <c r="C32" s="6">
        <f>C15</f>
        <v>29627</v>
      </c>
    </row>
    <row r="33" spans="1:4">
      <c r="A33" s="4" t="s">
        <v>42</v>
      </c>
      <c r="B33" s="5">
        <v>2100</v>
      </c>
      <c r="C33" s="5">
        <f>1*2*2650</f>
        <v>5300</v>
      </c>
    </row>
    <row r="34" spans="1:4">
      <c r="A34" s="4" t="s">
        <v>43</v>
      </c>
      <c r="B34" s="5">
        <v>0</v>
      </c>
      <c r="C34" s="5">
        <f>1.5*2*2650</f>
        <v>7950</v>
      </c>
    </row>
    <row r="35" spans="1:4">
      <c r="A35" s="4" t="s">
        <v>44</v>
      </c>
      <c r="B35" s="6">
        <v>24823.94</v>
      </c>
      <c r="C35" s="6">
        <v>30000</v>
      </c>
    </row>
    <row r="36" spans="1:4">
      <c r="A36" s="4" t="s">
        <v>45</v>
      </c>
      <c r="B36" s="6">
        <v>19853.16</v>
      </c>
      <c r="C36" s="6">
        <v>20000</v>
      </c>
    </row>
    <row r="37" spans="1:4">
      <c r="A37" s="4" t="s">
        <v>46</v>
      </c>
      <c r="B37" s="11">
        <v>17905.84</v>
      </c>
      <c r="C37" s="11">
        <v>18000</v>
      </c>
    </row>
    <row r="38" spans="1:4">
      <c r="A38" s="4" t="s">
        <v>47</v>
      </c>
      <c r="B38" s="6">
        <v>12000</v>
      </c>
      <c r="C38" s="6">
        <v>12000</v>
      </c>
    </row>
    <row r="39" spans="1:4">
      <c r="A39" s="4" t="s">
        <v>48</v>
      </c>
      <c r="B39" s="6">
        <v>0</v>
      </c>
      <c r="C39" s="6">
        <v>16000</v>
      </c>
    </row>
    <row r="40" spans="1:4">
      <c r="A40" s="4" t="s">
        <v>49</v>
      </c>
      <c r="B40" s="11">
        <v>3675.48</v>
      </c>
      <c r="C40" s="11">
        <v>0</v>
      </c>
    </row>
    <row r="41" spans="1:4">
      <c r="A41" s="4" t="s">
        <v>50</v>
      </c>
      <c r="B41" s="6">
        <v>5273</v>
      </c>
      <c r="C41" s="6">
        <v>6500</v>
      </c>
    </row>
    <row r="42" spans="1:4">
      <c r="A42" s="4" t="s">
        <v>51</v>
      </c>
      <c r="B42" s="11">
        <v>185.04</v>
      </c>
      <c r="C42" s="11">
        <v>200</v>
      </c>
    </row>
    <row r="43" spans="1:4">
      <c r="A43" s="4" t="s">
        <v>52</v>
      </c>
      <c r="B43" s="11">
        <v>6339.01</v>
      </c>
      <c r="C43" s="5">
        <v>5000</v>
      </c>
    </row>
    <row r="44" spans="1:4">
      <c r="A44" s="4" t="s">
        <v>53</v>
      </c>
      <c r="B44" s="6">
        <v>1579.8</v>
      </c>
      <c r="C44" s="6">
        <v>1550</v>
      </c>
    </row>
    <row r="45" spans="1:4">
      <c r="A45" s="4" t="s">
        <v>54</v>
      </c>
      <c r="B45" s="14">
        <v>1944.45</v>
      </c>
      <c r="C45" s="14">
        <v>2000</v>
      </c>
    </row>
    <row r="46" spans="1:4">
      <c r="A46" s="4" t="s">
        <v>55</v>
      </c>
      <c r="B46" s="6">
        <v>1500</v>
      </c>
      <c r="C46" s="6">
        <v>1500</v>
      </c>
    </row>
    <row r="47" spans="1:4">
      <c r="A47" s="4" t="s">
        <v>56</v>
      </c>
      <c r="B47" s="11">
        <v>3197.5</v>
      </c>
      <c r="C47" s="6">
        <f>3420+(375*2)+(865*2)</f>
        <v>5900</v>
      </c>
      <c r="D47" s="11"/>
    </row>
    <row r="48" spans="1:4">
      <c r="A48" s="4" t="s">
        <v>57</v>
      </c>
      <c r="B48" s="6">
        <v>1138.17</v>
      </c>
      <c r="C48" s="6">
        <v>1000</v>
      </c>
    </row>
    <row r="49" spans="1:3">
      <c r="A49" s="4" t="s">
        <v>58</v>
      </c>
      <c r="B49" s="6">
        <v>1000</v>
      </c>
      <c r="C49" s="6">
        <v>600</v>
      </c>
    </row>
    <row r="50" spans="1:3">
      <c r="A50" s="4" t="s">
        <v>59</v>
      </c>
      <c r="B50" s="6">
        <v>3570.27</v>
      </c>
      <c r="C50" s="6">
        <v>3500</v>
      </c>
    </row>
    <row r="51" spans="1:3">
      <c r="A51" s="4" t="s">
        <v>60</v>
      </c>
      <c r="B51" s="6">
        <v>500</v>
      </c>
      <c r="C51" s="6">
        <v>500</v>
      </c>
    </row>
    <row r="52" spans="1:3">
      <c r="A52" s="4" t="s">
        <v>61</v>
      </c>
      <c r="B52" s="6">
        <v>2000</v>
      </c>
      <c r="C52" s="6">
        <v>0</v>
      </c>
    </row>
    <row r="53" spans="1:3">
      <c r="A53" s="4" t="s">
        <v>62</v>
      </c>
      <c r="B53" s="6">
        <v>250</v>
      </c>
      <c r="C53" s="6">
        <v>0</v>
      </c>
    </row>
    <row r="54" spans="1:3">
      <c r="A54" s="4" t="s">
        <v>63</v>
      </c>
      <c r="B54" s="6">
        <v>2500</v>
      </c>
      <c r="C54" s="6">
        <v>0</v>
      </c>
    </row>
    <row r="55" spans="1:3">
      <c r="A55" s="4" t="s">
        <v>64</v>
      </c>
      <c r="B55" s="6">
        <v>28.07</v>
      </c>
      <c r="C55" s="6">
        <v>0</v>
      </c>
    </row>
    <row r="56" spans="1:3">
      <c r="A56" s="4" t="s">
        <v>65</v>
      </c>
      <c r="B56" s="6">
        <v>1915.73</v>
      </c>
      <c r="C56" s="5">
        <v>1900</v>
      </c>
    </row>
    <row r="57" spans="1:3">
      <c r="A57" s="4" t="s">
        <v>66</v>
      </c>
      <c r="B57" s="6">
        <v>0</v>
      </c>
      <c r="C57" s="5">
        <v>2000</v>
      </c>
    </row>
    <row r="58" spans="1:3">
      <c r="A58" s="4" t="s">
        <v>67</v>
      </c>
      <c r="B58" s="6">
        <v>0</v>
      </c>
      <c r="C58" s="5">
        <v>1000</v>
      </c>
    </row>
    <row r="59" spans="1:3">
      <c r="A59" s="4" t="s">
        <v>68</v>
      </c>
      <c r="B59" s="6">
        <v>0</v>
      </c>
      <c r="C59" s="5">
        <v>250</v>
      </c>
    </row>
    <row r="60" spans="1:3">
      <c r="A60" s="4" t="s">
        <v>69</v>
      </c>
      <c r="B60" s="5">
        <v>0</v>
      </c>
      <c r="C60" s="5">
        <v>3000</v>
      </c>
    </row>
    <row r="61" spans="1:3">
      <c r="A61" s="4" t="s">
        <v>33</v>
      </c>
      <c r="B61" s="6">
        <v>0</v>
      </c>
      <c r="C61" s="5">
        <f>7*500</f>
        <v>3500</v>
      </c>
    </row>
    <row r="62" spans="1:3" ht="15.75">
      <c r="A62" s="9" t="s">
        <v>10</v>
      </c>
      <c r="B62" s="12">
        <f>SUM(B25:B61)</f>
        <v>1027995.82</v>
      </c>
      <c r="C62" s="12">
        <f>SUM(C25:C61)</f>
        <v>1028417.9911</v>
      </c>
    </row>
    <row r="64" spans="1:3" ht="15.75">
      <c r="A64" s="9" t="s">
        <v>11</v>
      </c>
      <c r="B64" s="13">
        <f>B21-B62</f>
        <v>-59995</v>
      </c>
      <c r="C64" s="13">
        <f>C21-C62</f>
        <v>5016.8889000000199</v>
      </c>
    </row>
  </sheetData>
  <mergeCells count="3">
    <mergeCell ref="A1:D1"/>
    <mergeCell ref="B3:B4"/>
    <mergeCell ref="C3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2B82-0FB5-4136-9000-0EB355C75FC7}">
  <dimension ref="A1:G18"/>
  <sheetViews>
    <sheetView topLeftCell="A5" zoomScale="110" zoomScaleNormal="110" workbookViewId="0">
      <selection activeCell="B8" sqref="B8"/>
    </sheetView>
  </sheetViews>
  <sheetFormatPr defaultRowHeight="15"/>
  <cols>
    <col min="1" max="1" width="31.5703125" customWidth="1"/>
    <col min="2" max="2" width="44.28515625" customWidth="1"/>
    <col min="3" max="3" width="10.42578125" customWidth="1"/>
  </cols>
  <sheetData>
    <row r="1" spans="1:7" ht="25.5" customHeight="1">
      <c r="A1" s="94" t="s">
        <v>70</v>
      </c>
      <c r="B1" s="94"/>
      <c r="C1" s="42"/>
      <c r="E1" s="42"/>
      <c r="F1" s="42"/>
      <c r="G1" s="42"/>
    </row>
    <row r="2" spans="1:7" ht="15.75" thickBot="1"/>
    <row r="3" spans="1:7" ht="15.75" thickBot="1">
      <c r="B3" s="92" t="s">
        <v>14</v>
      </c>
    </row>
    <row r="4" spans="1:7" ht="17.25" customHeight="1" thickBot="1">
      <c r="A4" s="24" t="s">
        <v>3</v>
      </c>
      <c r="B4" s="93"/>
    </row>
    <row r="5" spans="1:7">
      <c r="A5" s="4" t="s">
        <v>71</v>
      </c>
      <c r="B5" s="5">
        <f>Gait!C8</f>
        <v>321000</v>
      </c>
    </row>
    <row r="6" spans="1:7">
      <c r="A6" s="4" t="s">
        <v>72</v>
      </c>
      <c r="B6" s="5">
        <v>0</v>
      </c>
    </row>
    <row r="7" spans="1:7" ht="15.75" thickBot="1">
      <c r="A7" s="43" t="s">
        <v>73</v>
      </c>
      <c r="B7" s="49">
        <f>SafeDrive!B9</f>
        <v>25100</v>
      </c>
    </row>
    <row r="8" spans="1:7" ht="15.75">
      <c r="A8" s="9" t="s">
        <v>8</v>
      </c>
      <c r="B8" s="23">
        <f>SUM(B5:B7)</f>
        <v>346100</v>
      </c>
    </row>
    <row r="9" spans="1:7">
      <c r="B9" s="5"/>
    </row>
    <row r="10" spans="1:7" ht="15.75" thickBot="1"/>
    <row r="11" spans="1:7" ht="21.75" thickBot="1">
      <c r="A11" s="24" t="s">
        <v>9</v>
      </c>
      <c r="B11" s="50" t="s">
        <v>14</v>
      </c>
    </row>
    <row r="12" spans="1:7">
      <c r="A12" s="4" t="s">
        <v>71</v>
      </c>
      <c r="B12" s="5">
        <f>Gait!C21</f>
        <v>297854.25400000002</v>
      </c>
    </row>
    <row r="13" spans="1:7">
      <c r="A13" s="4" t="s">
        <v>72</v>
      </c>
      <c r="B13" s="5">
        <f>'Student Success Centre'!B10</f>
        <v>22872</v>
      </c>
    </row>
    <row r="14" spans="1:7" ht="15.75" thickBot="1">
      <c r="A14" s="43" t="s">
        <v>73</v>
      </c>
      <c r="B14" s="49">
        <f>SafeDrive!B15</f>
        <v>25581.599999999999</v>
      </c>
    </row>
    <row r="15" spans="1:7" ht="15.75">
      <c r="A15" s="9" t="s">
        <v>10</v>
      </c>
      <c r="B15" s="23">
        <f>SUM(B12:B14)</f>
        <v>346307.85399999999</v>
      </c>
    </row>
    <row r="16" spans="1:7">
      <c r="A16" s="4"/>
      <c r="B16" s="5"/>
    </row>
    <row r="17" spans="1:2" ht="16.5" thickBot="1">
      <c r="A17" s="45" t="s">
        <v>11</v>
      </c>
      <c r="B17" s="13">
        <f>B8-B15</f>
        <v>-207.85399999999208</v>
      </c>
    </row>
    <row r="18" spans="1:2" ht="15.75" thickTop="1"/>
  </sheetData>
  <mergeCells count="2">
    <mergeCell ref="B3:B4"/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E184-1C67-4535-9B80-5A0349F4ABB6}">
  <dimension ref="A1:C23"/>
  <sheetViews>
    <sheetView topLeftCell="A5" zoomScale="110" zoomScaleNormal="110" workbookViewId="0">
      <selection activeCell="D23" sqref="D23"/>
    </sheetView>
  </sheetViews>
  <sheetFormatPr defaultRowHeight="15"/>
  <cols>
    <col min="1" max="3" width="35.42578125" customWidth="1"/>
    <col min="4" max="4" width="43.28515625" customWidth="1"/>
  </cols>
  <sheetData>
    <row r="1" spans="1:3" ht="20.25">
      <c r="A1" s="89" t="s">
        <v>74</v>
      </c>
      <c r="B1" s="89"/>
      <c r="C1" s="89"/>
    </row>
    <row r="2" spans="1:3" ht="15.75" customHeight="1" thickBot="1"/>
    <row r="3" spans="1:3" ht="15.75" customHeight="1" thickBot="1">
      <c r="B3" s="86" t="s">
        <v>13</v>
      </c>
      <c r="C3" s="86" t="s">
        <v>14</v>
      </c>
    </row>
    <row r="4" spans="1:3" ht="19.5" thickBot="1">
      <c r="A4" s="24" t="s">
        <v>3</v>
      </c>
      <c r="B4" s="87"/>
      <c r="C4" s="87"/>
    </row>
    <row r="5" spans="1:3">
      <c r="A5" s="4" t="s">
        <v>75</v>
      </c>
      <c r="B5" s="6">
        <v>289474</v>
      </c>
      <c r="C5" s="5">
        <v>300000</v>
      </c>
    </row>
    <row r="6" spans="1:3" ht="14.25" customHeight="1">
      <c r="A6" s="4" t="s">
        <v>76</v>
      </c>
      <c r="B6" s="6">
        <v>15834.51</v>
      </c>
      <c r="C6" s="6">
        <v>16000</v>
      </c>
    </row>
    <row r="7" spans="1:3">
      <c r="A7" s="4" t="s">
        <v>77</v>
      </c>
      <c r="B7" s="6">
        <v>2911.45</v>
      </c>
      <c r="C7" s="5">
        <v>5000</v>
      </c>
    </row>
    <row r="8" spans="1:3" ht="15.75">
      <c r="A8" s="9" t="s">
        <v>8</v>
      </c>
      <c r="B8" s="8">
        <f>SUM(B5:B7)</f>
        <v>308219.96000000002</v>
      </c>
      <c r="C8" s="8">
        <f>SUM(C5:C7)</f>
        <v>321000</v>
      </c>
    </row>
    <row r="9" spans="1:3" ht="15.75" customHeight="1">
      <c r="A9" s="3" t="s">
        <v>9</v>
      </c>
      <c r="B9" s="3" t="s">
        <v>13</v>
      </c>
      <c r="C9" s="3" t="s">
        <v>14</v>
      </c>
    </row>
    <row r="10" spans="1:3">
      <c r="A10" s="4" t="s">
        <v>78</v>
      </c>
      <c r="B10" s="11">
        <v>136356.76999999999</v>
      </c>
      <c r="C10" s="6">
        <f>115900-'Orientation Week'!C34-'Orientation Week'!C33</f>
        <v>113100</v>
      </c>
    </row>
    <row r="11" spans="1:3">
      <c r="A11" s="4" t="s">
        <v>79</v>
      </c>
      <c r="B11" s="6">
        <v>108290</v>
      </c>
      <c r="C11" s="6">
        <v>115000</v>
      </c>
    </row>
    <row r="12" spans="1:3">
      <c r="A12" s="4" t="s">
        <v>80</v>
      </c>
      <c r="B12" s="11">
        <v>21843.040000000001</v>
      </c>
      <c r="C12" s="6">
        <v>13466.584000000001</v>
      </c>
    </row>
    <row r="13" spans="1:3">
      <c r="A13" s="4" t="s">
        <v>81</v>
      </c>
      <c r="B13" s="11">
        <v>7684.4</v>
      </c>
      <c r="C13" s="6">
        <v>6500</v>
      </c>
    </row>
    <row r="14" spans="1:3">
      <c r="A14" s="4" t="s">
        <v>82</v>
      </c>
      <c r="B14" s="6">
        <v>4981</v>
      </c>
      <c r="C14" s="6">
        <v>5000</v>
      </c>
    </row>
    <row r="15" spans="1:3">
      <c r="A15" s="4" t="s">
        <v>83</v>
      </c>
      <c r="B15" s="6">
        <v>11175.99</v>
      </c>
      <c r="C15" s="6">
        <v>11500</v>
      </c>
    </row>
    <row r="16" spans="1:3">
      <c r="A16" s="4" t="s">
        <v>84</v>
      </c>
      <c r="B16" s="5">
        <v>0</v>
      </c>
      <c r="C16" s="5">
        <v>1465</v>
      </c>
    </row>
    <row r="17" spans="1:3">
      <c r="A17" s="4" t="s">
        <v>85</v>
      </c>
      <c r="B17" s="5">
        <v>0</v>
      </c>
      <c r="C17" s="5">
        <v>8500</v>
      </c>
    </row>
    <row r="18" spans="1:3">
      <c r="A18" s="4" t="s">
        <v>86</v>
      </c>
      <c r="B18" s="6">
        <f>1869.96+3801.48</f>
        <v>5671.4400000000005</v>
      </c>
      <c r="C18" s="6">
        <f>5670</f>
        <v>5670</v>
      </c>
    </row>
    <row r="19" spans="1:3">
      <c r="A19" s="4" t="s">
        <v>60</v>
      </c>
      <c r="B19" s="11">
        <v>2545.27</v>
      </c>
      <c r="C19" s="6">
        <f>2500</f>
        <v>2500</v>
      </c>
    </row>
    <row r="20" spans="1:3">
      <c r="A20" s="4" t="s">
        <v>87</v>
      </c>
      <c r="B20" s="11">
        <v>7859.84</v>
      </c>
      <c r="C20" s="6">
        <f>5487.57+8000+575.1+90+1000</f>
        <v>15152.67</v>
      </c>
    </row>
    <row r="21" spans="1:3" ht="15.75">
      <c r="A21" s="9" t="s">
        <v>10</v>
      </c>
      <c r="B21" s="12">
        <f>SUM(B10:B20)</f>
        <v>306407.75000000006</v>
      </c>
      <c r="C21" s="12">
        <f>SUM(C10:C20)</f>
        <v>297854.25400000002</v>
      </c>
    </row>
    <row r="22" spans="1:3">
      <c r="B22" s="6"/>
      <c r="C22" s="6"/>
    </row>
    <row r="23" spans="1:3" ht="15.75">
      <c r="A23" s="9" t="s">
        <v>88</v>
      </c>
      <c r="B23" s="15">
        <f>B8-B21</f>
        <v>1812.2099999999627</v>
      </c>
      <c r="C23" s="15">
        <f>C8-C21</f>
        <v>23145.745999999985</v>
      </c>
    </row>
  </sheetData>
  <mergeCells count="3">
    <mergeCell ref="A1:C1"/>
    <mergeCell ref="B3:B4"/>
    <mergeCell ref="C3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69E3-DED9-4810-9697-B5527E4C3E75}">
  <dimension ref="A2:C18"/>
  <sheetViews>
    <sheetView workbookViewId="0">
      <selection activeCell="B10" sqref="B10"/>
    </sheetView>
  </sheetViews>
  <sheetFormatPr defaultRowHeight="15"/>
  <cols>
    <col min="1" max="2" width="29.140625" customWidth="1"/>
  </cols>
  <sheetData>
    <row r="2" spans="1:3">
      <c r="A2" s="95" t="s">
        <v>89</v>
      </c>
      <c r="B2" s="95"/>
      <c r="C2" s="95"/>
    </row>
    <row r="3" spans="1:3">
      <c r="A3" s="95"/>
      <c r="B3" s="95"/>
      <c r="C3" s="95"/>
    </row>
    <row r="4" spans="1:3" ht="15.75" thickBot="1"/>
    <row r="5" spans="1:3" ht="15.75" thickBot="1">
      <c r="B5" s="92" t="s">
        <v>14</v>
      </c>
    </row>
    <row r="6" spans="1:3" ht="18" customHeight="1" thickBot="1">
      <c r="A6" s="47" t="s">
        <v>9</v>
      </c>
      <c r="B6" s="93"/>
    </row>
    <row r="7" spans="1:3" ht="16.5" customHeight="1">
      <c r="A7" s="4" t="s">
        <v>90</v>
      </c>
      <c r="B7" s="5">
        <v>150</v>
      </c>
    </row>
    <row r="8" spans="1:3" ht="16.5" customHeight="1">
      <c r="A8" s="4" t="s">
        <v>91</v>
      </c>
      <c r="B8" s="5">
        <v>300</v>
      </c>
    </row>
    <row r="9" spans="1:3" ht="16.5" customHeight="1" thickBot="1">
      <c r="A9" s="84" t="s">
        <v>92</v>
      </c>
      <c r="B9" s="68">
        <f>6400*1.2+(12285*1.2)</f>
        <v>22422</v>
      </c>
    </row>
    <row r="10" spans="1:3" ht="16.5" customHeight="1">
      <c r="A10" s="51" t="s">
        <v>10</v>
      </c>
      <c r="B10" s="55">
        <f>SUM(B7:B9)</f>
        <v>22872</v>
      </c>
    </row>
    <row r="11" spans="1:3" ht="16.5" customHeight="1"/>
    <row r="12" spans="1:3" ht="16.5" customHeight="1" thickBot="1">
      <c r="A12" s="64" t="s">
        <v>11</v>
      </c>
      <c r="B12" s="62">
        <f>B4-B10</f>
        <v>-22872</v>
      </c>
    </row>
    <row r="13" spans="1:3" ht="16.5" customHeight="1" thickTop="1">
      <c r="A13" s="56"/>
      <c r="B13" s="54"/>
    </row>
    <row r="14" spans="1:3" ht="16.5" customHeight="1">
      <c r="A14" s="56"/>
      <c r="B14" s="54"/>
    </row>
    <row r="15" spans="1:3" ht="16.5" customHeight="1">
      <c r="A15" s="56"/>
      <c r="B15" s="54"/>
    </row>
    <row r="16" spans="1:3" ht="16.5" customHeight="1">
      <c r="A16" s="56"/>
      <c r="B16" s="54"/>
    </row>
    <row r="17" spans="1:3" ht="16.5" customHeight="1">
      <c r="A17" s="56"/>
      <c r="B17" s="54"/>
    </row>
    <row r="18" spans="1:3" ht="16.5" customHeight="1">
      <c r="C18" s="46"/>
    </row>
  </sheetData>
  <mergeCells count="2">
    <mergeCell ref="A2:C3"/>
    <mergeCell ref="B5:B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274E-2D1F-4B12-99D7-1DD63EA3E26E}">
  <dimension ref="A1:F23"/>
  <sheetViews>
    <sheetView topLeftCell="A5" zoomScale="110" zoomScaleNormal="110" workbookViewId="0">
      <selection activeCell="B15" sqref="B15"/>
    </sheetView>
  </sheetViews>
  <sheetFormatPr defaultRowHeight="15"/>
  <cols>
    <col min="1" max="1" width="30" customWidth="1"/>
    <col min="2" max="2" width="38.7109375" customWidth="1"/>
    <col min="3" max="3" width="16.5703125" customWidth="1"/>
    <col min="5" max="6" width="13" customWidth="1"/>
  </cols>
  <sheetData>
    <row r="1" spans="1:6" ht="21">
      <c r="A1" s="96" t="s">
        <v>93</v>
      </c>
      <c r="B1" s="96"/>
      <c r="C1" s="96"/>
      <c r="D1" s="57"/>
    </row>
    <row r="2" spans="1:6" ht="15.75" thickBot="1"/>
    <row r="3" spans="1:6" ht="15.75" customHeight="1" thickBot="1">
      <c r="B3" s="92" t="s">
        <v>14</v>
      </c>
      <c r="E3" s="73"/>
      <c r="F3" s="73"/>
    </row>
    <row r="4" spans="1:6" ht="19.5" customHeight="1" thickBot="1">
      <c r="A4" s="48" t="s">
        <v>3</v>
      </c>
      <c r="B4" s="93"/>
      <c r="E4" s="73"/>
      <c r="F4" s="73"/>
    </row>
    <row r="5" spans="1:6">
      <c r="A5" s="4" t="s">
        <v>94</v>
      </c>
      <c r="B5" s="5">
        <f>2*2*2650</f>
        <v>10600</v>
      </c>
      <c r="E5" s="75"/>
      <c r="F5" s="76"/>
    </row>
    <row r="6" spans="1:6" ht="15" customHeight="1">
      <c r="A6" s="4" t="s">
        <v>28</v>
      </c>
      <c r="B6" s="5">
        <v>1000</v>
      </c>
      <c r="E6" s="73"/>
      <c r="F6" s="81"/>
    </row>
    <row r="7" spans="1:6" ht="15" customHeight="1">
      <c r="A7" s="4" t="s">
        <v>95</v>
      </c>
      <c r="B7" s="67">
        <v>7000</v>
      </c>
      <c r="E7" s="74"/>
      <c r="F7" s="81"/>
    </row>
    <row r="8" spans="1:6" ht="15.75" thickBot="1">
      <c r="A8" s="43" t="s">
        <v>50</v>
      </c>
      <c r="B8" s="49">
        <v>6500</v>
      </c>
      <c r="E8" s="75"/>
      <c r="F8" s="76"/>
    </row>
    <row r="9" spans="1:6" ht="15.75">
      <c r="A9" s="9" t="s">
        <v>96</v>
      </c>
      <c r="B9" s="23">
        <f>SUM(B5:B8)</f>
        <v>25100</v>
      </c>
      <c r="E9" s="75"/>
      <c r="F9" s="77"/>
    </row>
    <row r="10" spans="1:6" ht="16.5" thickBot="1">
      <c r="A10" s="4"/>
      <c r="B10" s="5"/>
      <c r="E10" s="78"/>
      <c r="F10" s="79"/>
    </row>
    <row r="11" spans="1:6" ht="19.5" thickBot="1">
      <c r="A11" s="58" t="s">
        <v>9</v>
      </c>
      <c r="B11" s="52" t="s">
        <v>14</v>
      </c>
      <c r="E11" s="75"/>
      <c r="F11" s="76"/>
    </row>
    <row r="12" spans="1:6" ht="18.75">
      <c r="A12" s="4" t="s">
        <v>97</v>
      </c>
      <c r="B12" s="5">
        <v>200</v>
      </c>
      <c r="E12" s="21"/>
      <c r="F12" s="80"/>
    </row>
    <row r="13" spans="1:6">
      <c r="A13" s="4" t="s">
        <v>98</v>
      </c>
      <c r="B13" s="5">
        <v>18261.599999999999</v>
      </c>
      <c r="E13" s="75"/>
      <c r="F13" s="76"/>
    </row>
    <row r="14" spans="1:6" ht="15.75" thickBot="1">
      <c r="A14" s="43" t="s">
        <v>99</v>
      </c>
      <c r="B14" s="49">
        <f>240*28+400</f>
        <v>7120</v>
      </c>
      <c r="E14" s="75"/>
      <c r="F14" s="76"/>
    </row>
    <row r="15" spans="1:6" ht="15.75">
      <c r="A15" s="9" t="s">
        <v>10</v>
      </c>
      <c r="B15" s="23">
        <f>SUM(B12:B14)</f>
        <v>25581.599999999999</v>
      </c>
      <c r="E15" s="75"/>
      <c r="F15" s="76"/>
    </row>
    <row r="16" spans="1:6" ht="15.75">
      <c r="A16" s="4"/>
      <c r="E16" s="78"/>
      <c r="F16" s="79"/>
    </row>
    <row r="17" spans="1:6" ht="16.5" thickBot="1">
      <c r="A17" s="9" t="s">
        <v>11</v>
      </c>
      <c r="B17" s="44">
        <f>B9-B15</f>
        <v>-481.59999999999854</v>
      </c>
      <c r="E17" s="75"/>
      <c r="F17" s="73"/>
    </row>
    <row r="18" spans="1:6" ht="16.5" thickTop="1">
      <c r="E18" s="78"/>
      <c r="F18" s="76"/>
    </row>
    <row r="19" spans="1:6">
      <c r="E19" s="73"/>
      <c r="F19" s="73"/>
    </row>
    <row r="20" spans="1:6">
      <c r="E20" s="73"/>
      <c r="F20" s="73"/>
    </row>
    <row r="22" spans="1:6">
      <c r="B22" s="4"/>
    </row>
    <row r="23" spans="1:6">
      <c r="B23" s="4"/>
    </row>
  </sheetData>
  <mergeCells count="2">
    <mergeCell ref="B3:B4"/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31EB-B95C-4E88-8228-F9858FF4953B}">
  <dimension ref="A2:E22"/>
  <sheetViews>
    <sheetView zoomScale="110" zoomScaleNormal="110" workbookViewId="0">
      <selection activeCell="B14" sqref="B14"/>
    </sheetView>
  </sheetViews>
  <sheetFormatPr defaultRowHeight="15"/>
  <cols>
    <col min="1" max="3" width="32.5703125" customWidth="1"/>
    <col min="4" max="4" width="10.5703125" customWidth="1"/>
  </cols>
  <sheetData>
    <row r="2" spans="1:5" ht="15" customHeight="1">
      <c r="A2" s="95" t="s">
        <v>100</v>
      </c>
      <c r="B2" s="95"/>
      <c r="C2" s="95"/>
      <c r="D2" s="53"/>
    </row>
    <row r="3" spans="1:5" ht="15" customHeight="1" thickBot="1">
      <c r="A3" s="95"/>
      <c r="B3" s="95"/>
      <c r="C3" s="95"/>
      <c r="D3" s="53"/>
    </row>
    <row r="4" spans="1:5" ht="15.75" customHeight="1" thickBot="1">
      <c r="B4" s="92" t="s">
        <v>13</v>
      </c>
      <c r="C4" s="92" t="s">
        <v>14</v>
      </c>
    </row>
    <row r="5" spans="1:5" ht="15.75" customHeight="1" thickBot="1">
      <c r="A5" s="24" t="s">
        <v>3</v>
      </c>
      <c r="B5" s="93"/>
      <c r="C5" s="93"/>
    </row>
    <row r="6" spans="1:5" ht="16.5" customHeight="1">
      <c r="A6" s="4" t="s">
        <v>101</v>
      </c>
      <c r="B6" s="6">
        <v>3218</v>
      </c>
      <c r="C6" s="6">
        <v>4123.8</v>
      </c>
    </row>
    <row r="7" spans="1:5" ht="15.75" customHeight="1">
      <c r="A7" s="4" t="s">
        <v>102</v>
      </c>
      <c r="B7" s="14">
        <v>34650</v>
      </c>
      <c r="C7" s="6">
        <f>(7.41*2)*2650+7906.52</f>
        <v>47179.520000000004</v>
      </c>
    </row>
    <row r="8" spans="1:5" ht="15.75" customHeight="1" thickBot="1">
      <c r="A8" s="4" t="s">
        <v>103</v>
      </c>
      <c r="B8" s="65">
        <v>500</v>
      </c>
      <c r="C8" s="65">
        <v>500</v>
      </c>
      <c r="D8" s="39"/>
    </row>
    <row r="9" spans="1:5" ht="15.75" customHeight="1">
      <c r="A9" s="9" t="s">
        <v>96</v>
      </c>
      <c r="B9" s="23">
        <f>SUM(B6:B8)</f>
        <v>38368</v>
      </c>
      <c r="C9" s="23">
        <f>SUM(C6:C8)</f>
        <v>51803.320000000007</v>
      </c>
    </row>
    <row r="10" spans="1:5" ht="15.75" customHeight="1"/>
    <row r="11" spans="1:5" ht="15.75" customHeight="1" thickBot="1"/>
    <row r="12" spans="1:5" ht="15.75" customHeight="1" thickBot="1">
      <c r="B12" s="92" t="s">
        <v>13</v>
      </c>
      <c r="C12" s="92" t="s">
        <v>14</v>
      </c>
    </row>
    <row r="13" spans="1:5" ht="15.75" customHeight="1" thickBot="1">
      <c r="A13" s="47" t="s">
        <v>9</v>
      </c>
      <c r="B13" s="93"/>
      <c r="C13" s="93"/>
    </row>
    <row r="14" spans="1:5" ht="15.75" customHeight="1">
      <c r="A14" s="59" t="s">
        <v>92</v>
      </c>
      <c r="B14" s="5">
        <v>0</v>
      </c>
      <c r="C14" s="5">
        <f>3500+2500+2000+1500+(9005*0.2)+32500+(32500*0.2)-4000</f>
        <v>46301</v>
      </c>
      <c r="E14" s="40"/>
    </row>
    <row r="15" spans="1:5" ht="15.75" customHeight="1">
      <c r="A15" s="4" t="s">
        <v>104</v>
      </c>
      <c r="B15" s="6">
        <v>26743.48</v>
      </c>
      <c r="C15" s="6">
        <f>'Comms '!C7</f>
        <v>47179.520000000004</v>
      </c>
    </row>
    <row r="16" spans="1:5" ht="15.75" customHeight="1">
      <c r="A16" s="4" t="s">
        <v>105</v>
      </c>
      <c r="B16" s="6">
        <v>7402.25</v>
      </c>
      <c r="C16" s="6">
        <v>7500</v>
      </c>
    </row>
    <row r="17" spans="1:5" ht="15.75" customHeight="1">
      <c r="A17" s="4" t="s">
        <v>106</v>
      </c>
      <c r="B17" s="5">
        <v>0</v>
      </c>
      <c r="C17" s="5">
        <f>667+207+575+747.5+431.24</f>
        <v>2627.74</v>
      </c>
      <c r="E17" s="41"/>
    </row>
    <row r="18" spans="1:5" ht="15.75" customHeight="1" thickBot="1">
      <c r="A18" s="4" t="s">
        <v>107</v>
      </c>
      <c r="B18" s="49">
        <v>0</v>
      </c>
      <c r="C18" s="49">
        <f>46+914.25+566.61+604.9+260.41</f>
        <v>2392.17</v>
      </c>
      <c r="E18" s="41"/>
    </row>
    <row r="19" spans="1:5" ht="15.75" customHeight="1">
      <c r="A19" s="51" t="s">
        <v>10</v>
      </c>
      <c r="B19" s="23">
        <f>SUM(B14:B18)</f>
        <v>34145.729999999996</v>
      </c>
      <c r="C19" s="55">
        <f>SUM(C14:C18)</f>
        <v>106000.43000000001</v>
      </c>
      <c r="E19" s="41"/>
    </row>
    <row r="20" spans="1:5" ht="15.75" customHeight="1">
      <c r="E20" s="41"/>
    </row>
    <row r="21" spans="1:5" ht="16.5" thickBot="1">
      <c r="A21" s="9" t="s">
        <v>11</v>
      </c>
      <c r="B21" s="13">
        <f>B9-B19</f>
        <v>4222.2700000000041</v>
      </c>
      <c r="C21" s="63">
        <f>C9-C19</f>
        <v>-54197.11</v>
      </c>
      <c r="E21" s="41"/>
    </row>
    <row r="22" spans="1:5" ht="15.75" thickTop="1">
      <c r="E22" s="41"/>
    </row>
  </sheetData>
  <mergeCells count="5">
    <mergeCell ref="A2:C3"/>
    <mergeCell ref="B4:B5"/>
    <mergeCell ref="C4:C5"/>
    <mergeCell ref="C12:C13"/>
    <mergeCell ref="B12:B1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8061-7269-4749-9A1F-6441424CB7C5}">
  <dimension ref="A1:F28"/>
  <sheetViews>
    <sheetView topLeftCell="A5" workbookViewId="0">
      <selection activeCell="C27" sqref="C27"/>
    </sheetView>
  </sheetViews>
  <sheetFormatPr defaultRowHeight="15"/>
  <cols>
    <col min="1" max="3" width="34" customWidth="1"/>
    <col min="4" max="4" width="10" customWidth="1"/>
  </cols>
  <sheetData>
    <row r="1" spans="1:6" ht="15" customHeight="1">
      <c r="A1" s="89" t="s">
        <v>108</v>
      </c>
      <c r="B1" s="89"/>
      <c r="C1" s="89"/>
      <c r="D1" s="89"/>
    </row>
    <row r="2" spans="1:6" ht="15" customHeight="1" thickBot="1">
      <c r="A2" s="16"/>
      <c r="B2" s="16"/>
      <c r="C2" s="16"/>
      <c r="D2" s="16"/>
    </row>
    <row r="3" spans="1:6" ht="13.5" customHeight="1" thickBot="1">
      <c r="A3" s="20"/>
      <c r="B3" s="97" t="s">
        <v>109</v>
      </c>
      <c r="C3" s="97" t="s">
        <v>110</v>
      </c>
      <c r="D3" s="16"/>
    </row>
    <row r="4" spans="1:6" ht="19.5" customHeight="1" thickBot="1">
      <c r="A4" s="26" t="s">
        <v>3</v>
      </c>
      <c r="B4" s="98"/>
      <c r="C4" s="98"/>
      <c r="D4" s="17"/>
    </row>
    <row r="5" spans="1:6" ht="15" customHeight="1">
      <c r="A5" s="29" t="s">
        <v>111</v>
      </c>
      <c r="B5" s="28">
        <f>'Orientation Week'!B13</f>
        <v>93633.919999999998</v>
      </c>
      <c r="C5" s="28">
        <f>'Orientation Week'!C13</f>
        <v>99292</v>
      </c>
    </row>
    <row r="6" spans="1:6" ht="15" customHeight="1">
      <c r="A6" s="35" t="s">
        <v>112</v>
      </c>
      <c r="B6" s="38">
        <f>HallowFest!B6</f>
        <v>388</v>
      </c>
      <c r="C6" s="36">
        <f>HallowFest!C6</f>
        <v>1000</v>
      </c>
      <c r="D6" s="18"/>
    </row>
    <row r="7" spans="1:6" ht="15" customHeight="1">
      <c r="A7" s="27" t="s">
        <v>113</v>
      </c>
      <c r="B7" s="28">
        <f>Winterfest!B8</f>
        <v>86539</v>
      </c>
      <c r="C7" s="28">
        <f>Winterfest!C8</f>
        <v>93000</v>
      </c>
      <c r="E7" s="28"/>
      <c r="F7" s="28"/>
    </row>
    <row r="8" spans="1:6" ht="15" customHeight="1">
      <c r="A8" s="29" t="s">
        <v>114</v>
      </c>
      <c r="B8" s="5">
        <f>'Winter O-Week'!B6</f>
        <v>2421.14</v>
      </c>
      <c r="C8" s="5">
        <f>'Winter O-Week'!C6</f>
        <v>3055</v>
      </c>
      <c r="E8" s="28"/>
      <c r="F8" s="28"/>
    </row>
    <row r="9" spans="1:6" ht="15" customHeight="1">
      <c r="A9" s="29" t="s">
        <v>115</v>
      </c>
      <c r="B9" s="5">
        <f>'Grad Formal'!B7</f>
        <v>25959</v>
      </c>
      <c r="C9" s="5">
        <f>'Grad Formal'!C7</f>
        <v>31625</v>
      </c>
      <c r="F9" s="28"/>
    </row>
    <row r="10" spans="1:6" ht="15" customHeight="1" thickBot="1">
      <c r="A10" s="29" t="s">
        <v>116</v>
      </c>
      <c r="B10" s="5">
        <v>0</v>
      </c>
      <c r="C10" s="5">
        <f>'Minor Events'!C5</f>
        <v>500</v>
      </c>
      <c r="D10" s="18"/>
    </row>
    <row r="11" spans="1:6" ht="15" customHeight="1">
      <c r="A11" s="30" t="s">
        <v>96</v>
      </c>
      <c r="B11" s="8">
        <f>SUM(B5:B10)</f>
        <v>208941.06</v>
      </c>
      <c r="C11" s="8">
        <f>SUM(C5:C10)</f>
        <v>228472</v>
      </c>
      <c r="D11" s="19"/>
    </row>
    <row r="12" spans="1:6" ht="15" customHeight="1">
      <c r="A12" s="5"/>
      <c r="B12" s="31"/>
      <c r="C12" s="6"/>
      <c r="D12" s="16"/>
    </row>
    <row r="13" spans="1:6" ht="15" customHeight="1" thickBot="1">
      <c r="A13" s="5"/>
      <c r="B13" s="6"/>
      <c r="C13" s="6"/>
      <c r="D13" s="17" t="s">
        <v>117</v>
      </c>
    </row>
    <row r="14" spans="1:6" ht="18.75" customHeight="1" thickBot="1">
      <c r="A14" s="26" t="s">
        <v>9</v>
      </c>
      <c r="B14" s="26" t="s">
        <v>13</v>
      </c>
      <c r="C14" s="26" t="s">
        <v>110</v>
      </c>
    </row>
    <row r="15" spans="1:6" ht="15" customHeight="1">
      <c r="A15" s="29" t="s">
        <v>111</v>
      </c>
      <c r="B15" s="32">
        <f>'Orientation Week'!B55</f>
        <v>97747</v>
      </c>
      <c r="C15" s="32">
        <f>'Orientation Week'!C55</f>
        <v>101915.26</v>
      </c>
      <c r="D15" s="18"/>
    </row>
    <row r="16" spans="1:6" ht="15" customHeight="1">
      <c r="A16" s="29" t="s">
        <v>112</v>
      </c>
      <c r="B16" s="37">
        <f>HallowFest!B21</f>
        <v>5453.47</v>
      </c>
      <c r="C16" s="37">
        <f>HallowFest!C21</f>
        <v>2450</v>
      </c>
      <c r="D16" s="18"/>
    </row>
    <row r="17" spans="1:4" ht="15" customHeight="1">
      <c r="A17" s="27" t="s">
        <v>113</v>
      </c>
      <c r="B17" s="32">
        <f>Winterfest!B30</f>
        <v>77967</v>
      </c>
      <c r="C17" s="32">
        <f>Winterfest!C30</f>
        <v>83200</v>
      </c>
      <c r="D17" s="18"/>
    </row>
    <row r="18" spans="1:4" ht="15" customHeight="1">
      <c r="A18" s="29" t="s">
        <v>114</v>
      </c>
      <c r="B18" s="32">
        <f>'Winter O-Week'!B16</f>
        <v>1395</v>
      </c>
      <c r="C18" s="32">
        <f>'Winter O-Week'!C16</f>
        <v>2960</v>
      </c>
    </row>
    <row r="19" spans="1:4" ht="15" customHeight="1">
      <c r="A19" s="29" t="s">
        <v>115</v>
      </c>
      <c r="B19" s="32">
        <f>'Grad Formal'!B17</f>
        <v>29345.27</v>
      </c>
      <c r="C19" s="32">
        <f>'Grad Formal'!C17</f>
        <v>31600</v>
      </c>
      <c r="D19" s="18"/>
    </row>
    <row r="20" spans="1:4" ht="15" customHeight="1" thickBot="1">
      <c r="A20" s="4" t="s">
        <v>116</v>
      </c>
      <c r="B20" s="6">
        <v>0</v>
      </c>
      <c r="C20" s="5">
        <f>'Minor Events'!C11</f>
        <v>2750</v>
      </c>
      <c r="D20" s="18"/>
    </row>
    <row r="21" spans="1:4" ht="15" customHeight="1">
      <c r="A21" s="30" t="s">
        <v>10</v>
      </c>
      <c r="B21" s="8">
        <f>SUM(B15:B20)</f>
        <v>211907.74</v>
      </c>
      <c r="C21" s="8">
        <f>SUM(C15:C20)</f>
        <v>224875.26</v>
      </c>
    </row>
    <row r="22" spans="1:4" ht="15" customHeight="1">
      <c r="A22" s="5"/>
      <c r="B22" s="31"/>
      <c r="C22" s="14"/>
      <c r="D22" s="20"/>
    </row>
    <row r="23" spans="1:4" ht="15" customHeight="1" thickBot="1">
      <c r="A23" s="30" t="s">
        <v>11</v>
      </c>
      <c r="B23" s="15">
        <f>B11-B21</f>
        <v>-2966.679999999993</v>
      </c>
      <c r="C23" s="15">
        <f>C11-C21</f>
        <v>3596.7399999999907</v>
      </c>
      <c r="D23" s="16"/>
    </row>
    <row r="24" spans="1:4" ht="15" customHeight="1" thickTop="1"/>
    <row r="25" spans="1:4" ht="15" customHeight="1"/>
    <row r="26" spans="1:4" ht="15" customHeight="1"/>
    <row r="27" spans="1:4" ht="15" customHeight="1"/>
    <row r="28" spans="1:4" ht="15" customHeight="1"/>
  </sheetData>
  <mergeCells count="3">
    <mergeCell ref="A1:D1"/>
    <mergeCell ref="B3:B4"/>
    <mergeCell ref="C3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487B0-B1F7-4277-9C7F-78BCEB762B0A}">
  <dimension ref="A1:D63"/>
  <sheetViews>
    <sheetView workbookViewId="0">
      <selection activeCell="C9" sqref="C9"/>
    </sheetView>
  </sheetViews>
  <sheetFormatPr defaultRowHeight="15"/>
  <cols>
    <col min="1" max="3" width="32.42578125" customWidth="1"/>
    <col min="4" max="4" width="14" customWidth="1"/>
  </cols>
  <sheetData>
    <row r="1" spans="1:4" ht="15" customHeight="1">
      <c r="A1" s="88" t="s">
        <v>118</v>
      </c>
      <c r="B1" s="88"/>
      <c r="C1" s="88"/>
      <c r="D1" s="88"/>
    </row>
    <row r="2" spans="1:4" ht="15" customHeight="1">
      <c r="B2" s="2" t="s">
        <v>119</v>
      </c>
      <c r="C2" s="2" t="s">
        <v>120</v>
      </c>
    </row>
    <row r="3" spans="1:4" ht="15.75" customHeight="1">
      <c r="A3" s="21" t="s">
        <v>111</v>
      </c>
      <c r="B3" s="90" t="s">
        <v>13</v>
      </c>
      <c r="C3" s="90" t="s">
        <v>14</v>
      </c>
      <c r="D3" s="2"/>
    </row>
    <row r="4" spans="1:4" ht="21.75" customHeight="1">
      <c r="A4" s="3" t="s">
        <v>3</v>
      </c>
      <c r="B4" s="91"/>
      <c r="C4" s="91"/>
      <c r="D4" s="60"/>
    </row>
    <row r="5" spans="1:4" ht="15" customHeight="1">
      <c r="A5" s="4" t="s">
        <v>121</v>
      </c>
      <c r="B5" s="6">
        <v>71996.92</v>
      </c>
      <c r="C5" s="6">
        <f>700*102.61</f>
        <v>71827</v>
      </c>
      <c r="D5" s="6"/>
    </row>
    <row r="6" spans="1:4" ht="15" customHeight="1">
      <c r="A6" s="4" t="s">
        <v>122</v>
      </c>
      <c r="B6" s="6">
        <v>9580</v>
      </c>
      <c r="C6" s="6">
        <f>54*105</f>
        <v>5670</v>
      </c>
      <c r="D6" s="6"/>
    </row>
    <row r="7" spans="1:4" ht="15" customHeight="1">
      <c r="A7" s="4" t="s">
        <v>123</v>
      </c>
      <c r="B7" s="6">
        <v>2500</v>
      </c>
      <c r="C7" s="6">
        <v>2500</v>
      </c>
      <c r="D7" s="6"/>
    </row>
    <row r="8" spans="1:4" ht="15" customHeight="1">
      <c r="A8" s="4" t="s">
        <v>124</v>
      </c>
      <c r="B8" s="6">
        <v>4947</v>
      </c>
      <c r="C8" s="6">
        <v>5000</v>
      </c>
      <c r="D8" s="6"/>
    </row>
    <row r="9" spans="1:4" ht="15" customHeight="1">
      <c r="A9" s="4" t="s">
        <v>125</v>
      </c>
      <c r="B9" s="6">
        <v>1660</v>
      </c>
      <c r="C9" s="6">
        <v>1395</v>
      </c>
      <c r="D9" s="6"/>
    </row>
    <row r="10" spans="1:4" ht="15" customHeight="1">
      <c r="A10" s="4" t="s">
        <v>126</v>
      </c>
      <c r="B10" s="6">
        <v>2950</v>
      </c>
      <c r="C10" s="6">
        <f>2500+600+1250+500+700+1500</f>
        <v>7050</v>
      </c>
      <c r="D10" s="6"/>
    </row>
    <row r="11" spans="1:4" ht="15" customHeight="1">
      <c r="A11" s="4" t="s">
        <v>127</v>
      </c>
      <c r="B11" s="5">
        <v>0</v>
      </c>
      <c r="C11" s="5">
        <f>1000+150+1000+2500</f>
        <v>4650</v>
      </c>
    </row>
    <row r="12" spans="1:4" ht="15" customHeight="1">
      <c r="A12" s="59" t="s">
        <v>128</v>
      </c>
      <c r="B12" s="5">
        <v>0</v>
      </c>
      <c r="C12" s="5">
        <v>1200</v>
      </c>
    </row>
    <row r="13" spans="1:4" ht="15" customHeight="1">
      <c r="A13" s="9" t="s">
        <v>96</v>
      </c>
      <c r="B13" s="8">
        <f>SUM(B5:B12)</f>
        <v>93633.919999999998</v>
      </c>
      <c r="C13" s="8">
        <f>SUM(C5:C12)</f>
        <v>99292</v>
      </c>
      <c r="D13" s="6"/>
    </row>
    <row r="14" spans="1:4" ht="15" customHeight="1">
      <c r="B14" s="6"/>
      <c r="C14" s="6"/>
      <c r="D14" s="6"/>
    </row>
    <row r="15" spans="1:4" ht="19.5" customHeight="1">
      <c r="B15" s="6"/>
      <c r="C15" s="6"/>
      <c r="D15" s="14"/>
    </row>
    <row r="16" spans="1:4" ht="15" customHeight="1">
      <c r="A16" s="3" t="s">
        <v>9</v>
      </c>
      <c r="B16" s="3" t="s">
        <v>13</v>
      </c>
      <c r="C16" s="24" t="s">
        <v>14</v>
      </c>
      <c r="D16" s="23"/>
    </row>
    <row r="17" spans="1:4" ht="15" customHeight="1">
      <c r="A17" s="22" t="s">
        <v>129</v>
      </c>
      <c r="B17" s="5">
        <v>5000</v>
      </c>
      <c r="C17" s="6">
        <v>8500</v>
      </c>
    </row>
    <row r="18" spans="1:4" ht="15" customHeight="1">
      <c r="A18" s="22" t="s">
        <v>130</v>
      </c>
      <c r="B18" s="6">
        <v>22600</v>
      </c>
      <c r="C18" s="6">
        <v>24000</v>
      </c>
    </row>
    <row r="19" spans="1:4" ht="15" customHeight="1">
      <c r="A19" s="22" t="s">
        <v>131</v>
      </c>
      <c r="B19" s="6">
        <v>2609</v>
      </c>
      <c r="C19" s="6">
        <v>3500</v>
      </c>
    </row>
    <row r="20" spans="1:4" ht="15" customHeight="1">
      <c r="A20" s="22" t="s">
        <v>132</v>
      </c>
      <c r="B20" s="6">
        <v>4685</v>
      </c>
      <c r="C20" s="6">
        <v>4685</v>
      </c>
      <c r="D20" s="6"/>
    </row>
    <row r="21" spans="1:4" ht="15" customHeight="1">
      <c r="A21" s="22" t="s">
        <v>133</v>
      </c>
      <c r="B21" s="6">
        <v>2600</v>
      </c>
      <c r="C21" s="6">
        <v>2600</v>
      </c>
      <c r="D21" s="6"/>
    </row>
    <row r="22" spans="1:4" ht="15" customHeight="1">
      <c r="A22" s="22" t="s">
        <v>134</v>
      </c>
      <c r="B22" s="6">
        <v>800</v>
      </c>
      <c r="C22" s="6">
        <v>1500</v>
      </c>
      <c r="D22" s="33"/>
    </row>
    <row r="23" spans="1:4" ht="15" customHeight="1">
      <c r="A23" s="22" t="s">
        <v>135</v>
      </c>
      <c r="B23" s="6">
        <v>2200</v>
      </c>
      <c r="C23" s="6">
        <v>2200</v>
      </c>
      <c r="D23" s="6"/>
    </row>
    <row r="24" spans="1:4" ht="15" customHeight="1">
      <c r="A24" s="22" t="s">
        <v>136</v>
      </c>
      <c r="B24" s="6">
        <v>1725</v>
      </c>
      <c r="C24" s="6">
        <v>1600</v>
      </c>
      <c r="D24" s="6"/>
    </row>
    <row r="25" spans="1:4" ht="15" customHeight="1">
      <c r="A25" s="22" t="s">
        <v>137</v>
      </c>
      <c r="B25" s="6">
        <v>1715</v>
      </c>
      <c r="C25" s="6">
        <v>1720</v>
      </c>
      <c r="D25" s="6"/>
    </row>
    <row r="26" spans="1:4" ht="15" customHeight="1">
      <c r="A26" s="22" t="s">
        <v>138</v>
      </c>
      <c r="B26" s="6">
        <v>250</v>
      </c>
      <c r="C26" s="6">
        <v>250</v>
      </c>
      <c r="D26" s="6"/>
    </row>
    <row r="27" spans="1:4" ht="15" customHeight="1">
      <c r="A27" s="22" t="s">
        <v>139</v>
      </c>
      <c r="B27" s="6">
        <v>0</v>
      </c>
      <c r="C27" s="6">
        <v>0</v>
      </c>
      <c r="D27" s="6"/>
    </row>
    <row r="28" spans="1:4" ht="15" customHeight="1">
      <c r="A28" s="22" t="s">
        <v>140</v>
      </c>
      <c r="B28" s="6">
        <v>1447</v>
      </c>
      <c r="C28" s="6">
        <f>150+150+100+175+300</f>
        <v>875</v>
      </c>
      <c r="D28" s="6"/>
    </row>
    <row r="29" spans="1:4" ht="15" customHeight="1">
      <c r="A29" s="22" t="s">
        <v>141</v>
      </c>
      <c r="B29" s="6">
        <v>2100</v>
      </c>
      <c r="C29" s="6">
        <v>0</v>
      </c>
      <c r="D29" s="6"/>
    </row>
    <row r="30" spans="1:4" ht="15" customHeight="1">
      <c r="A30" s="22" t="s">
        <v>142</v>
      </c>
      <c r="B30" s="6">
        <v>1030</v>
      </c>
      <c r="C30" s="6">
        <v>750</v>
      </c>
      <c r="D30" s="6"/>
    </row>
    <row r="31" spans="1:4" ht="15" customHeight="1">
      <c r="A31" s="22" t="s">
        <v>143</v>
      </c>
      <c r="B31" s="6">
        <v>249</v>
      </c>
      <c r="C31" s="6">
        <v>150</v>
      </c>
      <c r="D31" s="6"/>
    </row>
    <row r="32" spans="1:4" ht="15" customHeight="1">
      <c r="A32" s="22" t="s">
        <v>144</v>
      </c>
      <c r="B32" s="6">
        <v>1200</v>
      </c>
      <c r="C32" s="6">
        <v>0</v>
      </c>
      <c r="D32" s="6"/>
    </row>
    <row r="33" spans="1:4" ht="15" customHeight="1">
      <c r="A33" s="22" t="s">
        <v>145</v>
      </c>
      <c r="B33" s="6">
        <v>1600</v>
      </c>
      <c r="C33" s="6">
        <v>1600</v>
      </c>
      <c r="D33" s="6"/>
    </row>
    <row r="34" spans="1:4" ht="15" customHeight="1">
      <c r="A34" s="22" t="s">
        <v>146</v>
      </c>
      <c r="B34" s="6">
        <v>1200</v>
      </c>
      <c r="C34" s="6">
        <v>1200</v>
      </c>
      <c r="D34" s="6"/>
    </row>
    <row r="35" spans="1:4" ht="15" customHeight="1">
      <c r="A35" s="22" t="s">
        <v>147</v>
      </c>
      <c r="B35" s="6">
        <v>1350</v>
      </c>
      <c r="C35" s="6">
        <v>1450</v>
      </c>
    </row>
    <row r="36" spans="1:4" ht="15" customHeight="1">
      <c r="A36" s="22" t="s">
        <v>148</v>
      </c>
      <c r="B36" s="6">
        <v>2250</v>
      </c>
      <c r="C36" s="6">
        <v>2000</v>
      </c>
      <c r="D36" s="6"/>
    </row>
    <row r="37" spans="1:4" ht="15" customHeight="1">
      <c r="A37" s="22" t="s">
        <v>149</v>
      </c>
      <c r="B37" s="6">
        <v>1000</v>
      </c>
      <c r="C37" s="6">
        <v>0</v>
      </c>
      <c r="D37" s="6"/>
    </row>
    <row r="38" spans="1:4" ht="15" customHeight="1">
      <c r="A38" s="22" t="s">
        <v>150</v>
      </c>
      <c r="B38" s="6">
        <v>1550</v>
      </c>
      <c r="C38" s="6">
        <v>1500</v>
      </c>
      <c r="D38" s="6"/>
    </row>
    <row r="39" spans="1:4" ht="15" customHeight="1">
      <c r="A39" s="22" t="s">
        <v>151</v>
      </c>
      <c r="B39" s="6">
        <v>220</v>
      </c>
      <c r="C39" s="6">
        <v>0</v>
      </c>
      <c r="D39" s="6"/>
    </row>
    <row r="40" spans="1:4" ht="15" customHeight="1">
      <c r="A40" s="22" t="s">
        <v>152</v>
      </c>
      <c r="B40" s="6">
        <v>3000</v>
      </c>
      <c r="C40" s="6">
        <v>3300</v>
      </c>
      <c r="D40" s="6"/>
    </row>
    <row r="41" spans="1:4" ht="15" customHeight="1">
      <c r="A41" s="22" t="s">
        <v>153</v>
      </c>
      <c r="B41" s="6">
        <v>2500</v>
      </c>
      <c r="C41" s="6">
        <v>2000</v>
      </c>
      <c r="D41" s="6"/>
    </row>
    <row r="42" spans="1:4" ht="15" customHeight="1">
      <c r="A42" s="22" t="s">
        <v>154</v>
      </c>
      <c r="B42" s="6">
        <v>2718</v>
      </c>
      <c r="C42" s="6">
        <v>2000</v>
      </c>
      <c r="D42" s="6"/>
    </row>
    <row r="43" spans="1:4" ht="15" customHeight="1">
      <c r="A43" s="22" t="s">
        <v>155</v>
      </c>
      <c r="B43" s="6">
        <v>1200</v>
      </c>
      <c r="C43" s="6">
        <v>1800</v>
      </c>
      <c r="D43" s="6"/>
    </row>
    <row r="44" spans="1:4" ht="15" customHeight="1">
      <c r="A44" s="22" t="s">
        <v>156</v>
      </c>
      <c r="B44" s="6">
        <v>6375</v>
      </c>
      <c r="C44" s="6">
        <f>8.5*650+575</f>
        <v>6100</v>
      </c>
      <c r="D44" s="6"/>
    </row>
    <row r="45" spans="1:4" ht="15" customHeight="1">
      <c r="A45" s="22" t="s">
        <v>157</v>
      </c>
      <c r="B45" s="6">
        <v>0</v>
      </c>
      <c r="C45" s="6">
        <v>1450</v>
      </c>
      <c r="D45" s="6"/>
    </row>
    <row r="46" spans="1:4" ht="15" customHeight="1">
      <c r="A46" s="22" t="s">
        <v>158</v>
      </c>
      <c r="B46" s="6">
        <v>5000</v>
      </c>
      <c r="C46" s="6">
        <v>5000</v>
      </c>
      <c r="D46" s="6"/>
    </row>
    <row r="47" spans="1:4" ht="15" customHeight="1">
      <c r="A47" s="22" t="s">
        <v>159</v>
      </c>
      <c r="B47" s="6">
        <v>1000</v>
      </c>
      <c r="C47" s="6">
        <v>1000</v>
      </c>
      <c r="D47" s="6"/>
    </row>
    <row r="48" spans="1:4" ht="15" customHeight="1">
      <c r="A48" s="22" t="s">
        <v>160</v>
      </c>
      <c r="B48" s="6">
        <v>1000</v>
      </c>
      <c r="C48" s="6">
        <v>550</v>
      </c>
      <c r="D48" s="6"/>
    </row>
    <row r="49" spans="1:4" ht="15" customHeight="1">
      <c r="A49" s="22" t="s">
        <v>161</v>
      </c>
      <c r="B49" s="6">
        <v>400</v>
      </c>
      <c r="C49" s="6">
        <v>3800</v>
      </c>
      <c r="D49" s="6"/>
    </row>
    <row r="50" spans="1:4" ht="15" customHeight="1">
      <c r="A50" s="22" t="s">
        <v>162</v>
      </c>
      <c r="B50" s="6">
        <v>150</v>
      </c>
      <c r="C50" s="6">
        <v>100</v>
      </c>
      <c r="D50" s="6"/>
    </row>
    <row r="51" spans="1:4" ht="15" customHeight="1">
      <c r="A51" s="22" t="s">
        <v>163</v>
      </c>
      <c r="B51" s="6">
        <v>12324</v>
      </c>
      <c r="C51" s="6">
        <v>13355.26</v>
      </c>
      <c r="D51" s="6"/>
    </row>
    <row r="52" spans="1:4" ht="15" customHeight="1">
      <c r="A52" s="22" t="s">
        <v>164</v>
      </c>
      <c r="B52" s="6">
        <v>200</v>
      </c>
      <c r="C52" s="6">
        <v>200</v>
      </c>
    </row>
    <row r="53" spans="1:4" ht="15" customHeight="1">
      <c r="A53" s="22" t="s">
        <v>165</v>
      </c>
      <c r="B53" s="6">
        <v>1500</v>
      </c>
      <c r="C53" s="6">
        <v>0</v>
      </c>
      <c r="D53" s="6"/>
    </row>
    <row r="54" spans="1:4" ht="15" customHeight="1">
      <c r="A54" s="22" t="s">
        <v>166</v>
      </c>
      <c r="B54" s="6">
        <v>1000</v>
      </c>
      <c r="C54" s="6">
        <f>180+1000</f>
        <v>1180</v>
      </c>
      <c r="D54" s="6"/>
    </row>
    <row r="55" spans="1:4" ht="15" customHeight="1">
      <c r="A55" s="9" t="s">
        <v>10</v>
      </c>
      <c r="B55" s="8">
        <f>SUM(B17:B54)</f>
        <v>97747</v>
      </c>
      <c r="C55" s="8">
        <f>SUM(C17:C54)</f>
        <v>101915.26</v>
      </c>
      <c r="D55" s="6"/>
    </row>
    <row r="56" spans="1:4" ht="15" customHeight="1">
      <c r="D56" s="6"/>
    </row>
    <row r="57" spans="1:4" ht="15" customHeight="1">
      <c r="B57" s="6"/>
      <c r="D57" s="6"/>
    </row>
    <row r="58" spans="1:4" ht="15" customHeight="1">
      <c r="A58" s="9" t="s">
        <v>11</v>
      </c>
      <c r="B58" s="13">
        <f>B13-B55</f>
        <v>-4113.0800000000017</v>
      </c>
      <c r="C58" s="13">
        <f>C13-C55</f>
        <v>-2623.2599999999948</v>
      </c>
      <c r="D58" s="6"/>
    </row>
    <row r="59" spans="1:4" ht="15" customHeight="1">
      <c r="D59" s="6"/>
    </row>
    <row r="60" spans="1:4" ht="17.25" customHeight="1">
      <c r="D60" s="6"/>
    </row>
    <row r="61" spans="1:4" ht="17.25" customHeight="1">
      <c r="D61" s="23"/>
    </row>
    <row r="62" spans="1:4" ht="17.25" customHeight="1">
      <c r="D62" s="6"/>
    </row>
    <row r="63" spans="1:4" ht="17.25" customHeight="1">
      <c r="D63" s="23"/>
    </row>
  </sheetData>
  <mergeCells count="3">
    <mergeCell ref="A1:D1"/>
    <mergeCell ref="B3:B4"/>
    <mergeCell ref="C3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9a3b8a-9035-4085-8be0-9f3f85126548" xsi:nil="true"/>
    <lcf76f155ced4ddcb4097134ff3c332f xmlns="f12e54ec-8e42-457e-a21a-b715fa4413f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58323473429B4BAE8F2C63F4C6D759" ma:contentTypeVersion="18" ma:contentTypeDescription="Create a new document." ma:contentTypeScope="" ma:versionID="21df39b938d4bebf8faf5d86bc70ab03">
  <xsd:schema xmlns:xsd="http://www.w3.org/2001/XMLSchema" xmlns:xs="http://www.w3.org/2001/XMLSchema" xmlns:p="http://schemas.microsoft.com/office/2006/metadata/properties" xmlns:ns2="f12e54ec-8e42-457e-a21a-b715fa4413fc" xmlns:ns3="d79a3b8a-9035-4085-8be0-9f3f85126548" targetNamespace="http://schemas.microsoft.com/office/2006/metadata/properties" ma:root="true" ma:fieldsID="a5b867ec14702981de0c85a8097ca8b2" ns2:_="" ns3:_="">
    <xsd:import namespace="f12e54ec-8e42-457e-a21a-b715fa4413fc"/>
    <xsd:import namespace="d79a3b8a-9035-4085-8be0-9f3f851265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e54ec-8e42-457e-a21a-b715fa441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9e79c6a-49e2-423f-a430-0648df4a03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a3b8a-9035-4085-8be0-9f3f8512654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5a101db-45e2-4d31-ac92-75481bd1a827}" ma:internalName="TaxCatchAll" ma:showField="CatchAllData" ma:web="d79a3b8a-9035-4085-8be0-9f3f851265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260BAD-11E1-4B91-82B0-25CEB267D8E0}"/>
</file>

<file path=customXml/itemProps2.xml><?xml version="1.0" encoding="utf-8"?>
<ds:datastoreItem xmlns:ds="http://schemas.openxmlformats.org/officeDocument/2006/customXml" ds:itemID="{C7EC1EC9-78E5-4C5C-89CE-740BB85A04AC}"/>
</file>

<file path=customXml/itemProps3.xml><?xml version="1.0" encoding="utf-8"?>
<ds:datastoreItem xmlns:ds="http://schemas.openxmlformats.org/officeDocument/2006/customXml" ds:itemID="{6B381325-19F4-43AC-810D-5C06853E2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Bishops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SRC Director of Finance</dc:creator>
  <cp:keywords/>
  <dc:description/>
  <cp:lastModifiedBy/>
  <cp:revision/>
  <dcterms:created xsi:type="dcterms:W3CDTF">2024-05-02T12:48:04Z</dcterms:created>
  <dcterms:modified xsi:type="dcterms:W3CDTF">2024-09-23T14:19:41Z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0x0101000A58323473429B4BAE8F2C63F4C6D759</vt:lpwstr>
  </property>
  <property fmtid="{D5CDD505-2E9C-101B-9397-08002B2CF9AE}" pid="3" name="MediaServiceImageTags">
    <vt:lpwstr/>
  </property>
</Properties>
</file>